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2025年项目计划12.18" sheetId="13" r:id="rId1"/>
    <sheet name="2025年项目库修改版 (县委汇报版)" sheetId="7" state="hidden" r:id="rId2"/>
    <sheet name="2025年项目提取" sheetId="4" state="hidden" r:id="rId3"/>
    <sheet name="土地碎片化" sheetId="10" state="hidden" r:id="rId4"/>
    <sheet name="示范村" sheetId="9" state="hidden" r:id="rId5"/>
    <sheet name="各单位统计" sheetId="6" state="hidden" r:id="rId6"/>
    <sheet name="下拉列表" sheetId="2" state="hidden" r:id="rId7"/>
  </sheets>
  <definedNames>
    <definedName name="_xlnm._FilterDatabase" localSheetId="0" hidden="1">'2025年项目计划12.18'!$A$7:$AE$176</definedName>
    <definedName name="_xlnm._FilterDatabase" localSheetId="1" hidden="1">'2025年项目库修改版 (县委汇报版)'!$A$7:$AA$169</definedName>
    <definedName name="_xlnm._FilterDatabase" localSheetId="2" hidden="1">'2025年项目提取'!$A$7:$AC$142</definedName>
    <definedName name="_xlnm._FilterDatabase" localSheetId="3" hidden="1">土地碎片化!$A$7:$AC$33</definedName>
    <definedName name="_xlnm._FilterDatabase" localSheetId="4" hidden="1">示范村!$A$3:$O$22</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2">'2025年项目提取'!$3:$6</definedName>
    <definedName name="_xlnm.Print_Titles" localSheetId="1">'2025年项目库修改版 (县委汇报版)'!$3:$6</definedName>
    <definedName name="_xlnm.Print_Titles" localSheetId="3">土地碎片化!$3:$6</definedName>
    <definedName name="_xlnm.Print_Titles" localSheetId="0">'2025年项目计划12.18'!$3:$6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<sst xmlns="http://schemas.openxmlformats.org/spreadsheetml/2006/main" count="5664" uniqueCount="1152">
  <si>
    <t>叶城县2025年巩固拓展脱贫攻坚成果同乡村振兴有效衔接年度项目计划</t>
  </si>
  <si>
    <t>填报单位：叶城县农业农村局</t>
  </si>
  <si>
    <t>序号</t>
  </si>
  <si>
    <t>项目库
编号</t>
  </si>
  <si>
    <t>项目名称</t>
  </si>
  <si>
    <t>二级项目类别</t>
  </si>
  <si>
    <t>项目子类型</t>
  </si>
  <si>
    <t>建设
性质</t>
  </si>
  <si>
    <t>建设地点</t>
  </si>
  <si>
    <t>建设内容</t>
  </si>
  <si>
    <t>建设单位</t>
  </si>
  <si>
    <t>建设规模</t>
  </si>
  <si>
    <t>投资（万元）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</si>
  <si>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</si>
  <si>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</si>
  <si>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</si>
  <si>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</si>
  <si>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</si>
  <si>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</si>
  <si>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</si>
  <si>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</si>
  <si>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</si>
  <si>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</si>
  <si>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</si>
  <si>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</si>
  <si>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</si>
  <si>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</si>
  <si>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</si>
  <si>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</si>
  <si>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</si>
  <si>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</si>
  <si>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</si>
  <si>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</si>
  <si>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</si>
  <si>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</si>
  <si>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</si>
  <si>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（一）到户产业项目</t>
  </si>
  <si>
    <t>yc2025001</t>
  </si>
  <si>
    <t>叶城县2025年林果业品种优化补助项目</t>
  </si>
  <si>
    <t>种植业基地</t>
  </si>
  <si>
    <t>新建</t>
  </si>
  <si>
    <t>巴仁乡、白杨镇、伯西热克镇、河园镇、江格勒斯乡、金果镇、洛克乡、棋盘乡、恰尔巴格镇、铁提乡、吐古其乡、乌夏巴什镇、依力克其乡、依提木孔镇、宗朗乡、乌吉热克乡</t>
  </si>
  <si>
    <t>项目总投资559.54万元
建设内容：林果业品种优化（脱贫户、监测户）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</si>
  <si>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亩</t>
  </si>
  <si>
    <t>经济效益：带动帮扶对象3303户实施林果业品种优化，户均享受补助1697元。
社会效益：促进林果产业发展，稳定群众收入。</t>
  </si>
  <si>
    <t>林业和草原局</t>
  </si>
  <si>
    <t>麦麦提江·图尔逊</t>
  </si>
  <si>
    <t>林果业</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</si>
  <si>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</si>
  <si>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</si>
  <si>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</si>
  <si>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脱贫户、监测户）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</si>
  <si>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经济效益：带动帮扶对象4606户实施林果业疏密，户均享受补助1896元。
社会效益：促进林果产业发展，稳定群众收入。</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</si>
  <si>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</si>
  <si>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</si>
  <si>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</si>
  <si>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脱贫户、监测户）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</si>
  <si>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经济效益：带动帮扶对象13968户实施核桃整形修剪，户均享受补助701元。
社会效益：促进林果产业发展，稳定群众收入。</t>
  </si>
  <si>
    <t>yc2025004</t>
  </si>
  <si>
    <t>叶城县2025年杏病虫害防治补助项目</t>
  </si>
  <si>
    <t>伯西热克镇、金果镇、柯克亚乡、棋盘乡、乌夏巴什镇、依力克其乡、依提木孔镇、宗朗乡</t>
  </si>
  <si>
    <t>项目总投资133.279965万元
建设内容：杏病虫害防治（脱贫户、监测户）2528户14029.47亩，95元/亩，其中伯西热克镇300户1422.3亩、金果镇11户20.3亩、柯克亚乡1户5亩、棋盘乡160户1760亩、乌夏巴什镇890户3639.77亩、依力克其乡537户3575.8亩、依提木孔镇4户11亩、宗朗乡625户3595.3亩。</t>
  </si>
  <si>
    <t>经济效益：带动帮扶对象2528户实施杏病虫害防治，户均享受补助527元。
社会效益：保障林果生长及结果率，群众满意度≥95%。</t>
  </si>
  <si>
    <t>第一批</t>
  </si>
  <si>
    <t>yc2025005</t>
  </si>
  <si>
    <t>叶城县2025年林果业提质增效项目</t>
  </si>
  <si>
    <t>阿克塔什镇、巴仁乡、白杨镇、伯西热克镇、河园镇、江格勒斯乡、金果镇、洛克乡、棋盘乡、恰尔巴格镇、恰其库木管理区、铁提乡、吐古其乡、乌夏巴什镇、夏合甫乡、依力克其乡、依提木孔镇、乌吉热克乡</t>
  </si>
  <si>
    <t>项目总投资4416.3495万元
建设内容：林果提质增效（脱贫户、监测户）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</si>
  <si>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经济效益：带动帮扶对象23112户实施林果提质增效，户均享受补助1911元。
社会效益：促进林果产业提质增效，群众满意度≥95%。</t>
  </si>
  <si>
    <t>yc2025006</t>
  </si>
  <si>
    <t>叶城县2025年核桃提质增效石硫合剂涂白剂补助项目</t>
  </si>
  <si>
    <t>养殖业基地</t>
  </si>
  <si>
    <t>巴仁乡、白杨镇、伯西热克镇、河园镇、金果镇、柯克亚乡、洛克乡、恰尔巴格镇、铁提乡、吐古其乡、夏合甫乡、依力克其乡、依提木孔镇、宗朗乡、乌吉热克乡</t>
  </si>
  <si>
    <t>项目总投资692.22404万元
建设内容：核桃提质增效石硫合剂涂白剂补助（脱贫户、监测户）22050户173056.01亩，40元/亩，其中巴仁乡588户6674.4亩、白杨镇1079户12069.89亩、伯西热克镇2703户11489.2亩、河园镇1820户15565.76亩、江格勒斯乡317户2704.3亩、金果镇506户2069.8亩、柯克亚乡316户1272.65亩、洛克乡2258户14632.2亩、恰尔巴格镇1671户18581.7亩、恰其库木管理区727户5649.5亩、铁提乡744户4965.06亩、吐古其乡1019户7408.42亩、乌吉热克乡1520户14181.36亩、乌夏巴什镇1452户7544.7亩、夏合甫乡1549户14946.47亩、依力克其乡1317户11437.7亩、依提木孔镇1504户12830.2亩、宗朗乡960户9032.7亩。</t>
  </si>
  <si>
    <t>经济效益：带动帮扶对象22050户实施病虫害防治，户均享受补助314元。
社会效益：通过病虫害防治，提高林果产量，带动群众和增收致富。</t>
  </si>
  <si>
    <t>yc2025007</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</si>
  <si>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</si>
  <si>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</si>
  <si>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项目总投资1454.10万元
建设内容：小麦单产提升（1.5%以上）（脱贫户、监测户）12927户96940.33亩，150元/亩，其中阿克塔什镇户亩、巴仁乡283户2062.8亩、白杨镇888户9268.09亩、伯西热克镇1772户9894.2亩、河园镇943户5108.09亩、江格勒斯乡457户4164.29亩、金果镇157户944.8亩、柯克亚乡户亩、洛克乡户亩、棋盘乡46户418.6亩、恰尔巴格镇381户2980.33亩、恰其库木管理区户亩、铁提乡532户2885.22亩、吐古其乡934户6348.52亩、乌吉热克乡802户8505.7亩、乌夏巴什镇1525户9996.79亩、夏合甫乡1124户10979.7亩、依力克其乡1100户10370.1亩、依提木孔镇1140户7329.7亩、宗朗乡843户5683.4亩。</t>
  </si>
  <si>
    <t>经济效益：带动帮扶对象12928户小麦单产提升补助，户均享受补助1125元。
社会效益：保障粮食安全，群众满意度≥95%。</t>
  </si>
  <si>
    <t>农业农村局</t>
  </si>
  <si>
    <t>唐俊</t>
  </si>
  <si>
    <t>种植业</t>
  </si>
  <si>
    <t>yc2025008</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</si>
  <si>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</si>
  <si>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</si>
  <si>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项目总投资1181.1843万元
建设内容：玉米单产提升（3%以上）（脱贫户、监测户）10481户78745.62亩，150元/亩，其中巴仁乡322户2048.4亩、白杨镇619户4941.85亩、伯西热克镇1278户6620.3亩、河园镇1007户6057.26亩、江格勒斯乡148户1209.6亩、金果镇92户455.6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</si>
  <si>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经济效益：带动帮扶对象10481户玉米单产提升补助，户均享受补助1127元。
社会效益：保障粮食安全，群众满意度≥95%。</t>
  </si>
  <si>
    <t>yc2025009</t>
  </si>
  <si>
    <t>叶城县2025年滴灌灌溉补助项目</t>
  </si>
  <si>
    <t>巴仁乡、白杨镇、伯西热克镇、江格勒斯乡、恰尔巴格镇、恰其库木管理区、铁提乡、吐古其乡、乌吉热克乡、乌夏巴什镇、夏合甫乡、依力克其乡、依提木孔镇、宗朗乡</t>
  </si>
  <si>
    <t>项目总投资57.17646万元
建设内容：滴灌灌溉补助（脱贫户、监测户）2746户19058.82亩，30元/亩，其中巴仁乡313户1740.3亩、白杨镇372户2158.81亩、伯西热克镇28户165.7亩、江格勒斯乡171户1261亩、恰尔巴格镇240户2286.4亩、恰其库木管理区316户4089.1亩、铁提乡157户579.1亩、吐古其乡138户917.39亩、乌吉热克乡143户1040.8亩、乌夏巴什镇96户930.02亩、夏合甫乡401户1484.3亩、依力克其乡239户1398亩、依提木孔镇107户517.9亩、宗朗乡25户490亩。</t>
  </si>
  <si>
    <t>经济效益：带动帮扶对象2746户实施滴灌灌溉补助，户均享受补助208元。
社会效益：保障粮食安全，群众满意度≥95%。</t>
  </si>
  <si>
    <t>yc2025010</t>
  </si>
  <si>
    <t>叶城县2025年托管服务补助项目</t>
  </si>
  <si>
    <t>农业社会化服务</t>
  </si>
  <si>
    <t>江格勒斯乡、乌吉热克乡、乌夏巴什镇、依力克其乡</t>
  </si>
  <si>
    <t>项目总投资40.0085万元
建设内容：托管服务补助（脱贫户、监测户）464户4000.85亩，100元/亩，其中江格勒斯乡46户195.2亩、乌吉热克乡16户175亩、乌夏巴什镇201户1420.65亩、依力克其乡201户2210亩。</t>
  </si>
  <si>
    <t>经济效益：带动帮扶对象464户实施托管服务补助造，户均享受补助862元。
社会效益：保障粮食安全，群众满意度≥95%。</t>
  </si>
  <si>
    <t>yc2025011</t>
  </si>
  <si>
    <t>叶城县2025年设施农业菜苗补助</t>
  </si>
  <si>
    <t>阿克塔什镇、巴仁乡、白杨镇、伯西热克镇、河园镇、江格勒斯乡、金果镇、恰尔巴格镇、铁提乡、吐古其乡乌夏巴什镇、夏合甫乡、依力克其乡、依提木孔镇</t>
  </si>
  <si>
    <t>项目总投资82.0656万元
建设内容：菜苗补助（脱贫户、监测户）1611户1823.68亩，450元/亩，其中阿克塔什镇80户240亩、巴仁乡64户112.7亩、白杨镇59户132.3亩、伯西热克镇119户69.4亩、河园镇204户319亩、江格勒斯乡132户73.9亩、金果镇47户66.3亩、恰尔巴格镇29户61.5亩、铁提乡28户84.9亩、吐古其乡522户138.98亩、夏合甫乡74户176.4亩、依力克其乡6户22.5亩、依提木孔镇247户325.8亩。</t>
  </si>
  <si>
    <t>经济效益：带动帮扶对象1609户实施设施农业菜苗补助，户均享受补助510元。
社会效益：促进蔬菜产业发展，群众满意度≥95%。</t>
  </si>
  <si>
    <t>庭院经济</t>
  </si>
  <si>
    <t>yc2025012</t>
  </si>
  <si>
    <t>叶城县2025年拱棚改造提升补助项目</t>
  </si>
  <si>
    <t>白杨镇、伯西热克镇、河园镇、江格勒斯乡、金果镇、铁提乡、吐古其乡、乌吉热克乡、依力克其乡、依提木孔镇、宗朗乡</t>
  </si>
  <si>
    <t>项目总投资21.3105万元
建设内容：拱棚改造提升（脱贫户、监测户）968户710.35亩，300元/亩，其中白杨镇3户22亩、伯西热克镇47户22.2亩、河园镇25户31亩、江格勒斯乡239户188.5亩、金果镇38户33.2亩、铁提乡1户1亩、吐古其乡405户204.15亩、乌吉热克乡116户70.2亩、依力克其乡3户19.2亩、依提木孔镇90户98.9亩、宗朗乡1户20亩。</t>
  </si>
  <si>
    <t>经济效益：带动帮扶对象967户实施拱棚改造，户均享受补助220元。
社会效益：促进蔬菜产业发展，群众满意度≥95%。</t>
  </si>
  <si>
    <t>yc2025013</t>
  </si>
  <si>
    <t>叶城县2025年发展家庭特色种植</t>
  </si>
  <si>
    <t>阿克塔什镇、巴仁乡、白杨镇、伯西热克镇、河园镇、江格勒斯乡、金果镇、洛克乡、棋盘乡、恰尔巴格镇、恰其库木管理区、吐古其乡、乌吉热克乡、乌夏巴什镇、夏合甫乡、依力克其乡、依提木孔镇、宗朗乡</t>
  </si>
  <si>
    <t>项目总投资642.898万元
建设内容：发展家庭特色种植（脱贫户、监测户）16834户6428.98亩，1000元/亩，其中阿克塔什镇2934户612.55亩、巴仁乡422户98.3亩、白杨镇899户313.4亩、伯西热克镇1541户616.1亩、河园镇385户787.5亩、江格勒斯乡927户430.7亩、金果镇58户17.6亩、洛克乡1174户456.25亩、棋盘乡109户56亩、恰尔巴格镇622户195.1亩、恰其库木管理区861户337.1亩、吐古其乡914户240.64亩、乌吉热克乡135户52.6亩、乌夏巴什镇1706户626.84亩、夏合甫乡1488户600.2亩、依力克其乡972户325.3亩、依提木孔镇982户281.2亩、宗朗乡705户381.6亩。</t>
  </si>
  <si>
    <t>经济效益：带动帮扶对象13901户发展特色种植，户均享受补助418元。
社会效益：促进群众大力发展庭院经济增加收入。</t>
  </si>
  <si>
    <t>yc2025014</t>
  </si>
  <si>
    <t>叶城县2025年引进良种母牛补助项目</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</si>
  <si>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</si>
  <si>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项目总投资3972万元
建设内容：引进良种母牛（脱贫户、监测户）6184户9930头，4000元/头，其中阿克塔什镇227户500头、巴仁乡104户190头、白杨镇145户187头、伯西热克镇1401户2737头、河园镇245户294头、江格勒斯乡44户63头、金果镇56户109头、柯克亚乡79户155头、洛克乡337户534头、棋盘乡2户5头、恰尔巴格镇757户1027头、恰其库木管理区162户270头、铁提乡222户366头、吐古其乡286户356头、乌吉热克乡121户174头、乌夏巴什镇364户767头、夏合甫乡706户832头、依力克其乡159户199头、依提木孔镇459户620头、宗朗乡277户478头、东城区16户39头、中城区15户28头。
引进品种：西门塔尔、安格斯、荷斯坦、牦牛。引进范围及要求：跨县域、跨地区、跨疆外的种畜场、扩繁场购买引进，即：种畜场是有种畜禽经营许可证；扩繁场是指在县级以上畜牧兽医主管部门办理养殖备案、取得畜禽养殖代码，并在新疆畜牧兽医大数据平台和农业农村部养殖场直连直报系统登记备案的，信息可查询。引进良种母牛标准：18月龄以上-4岁以下（含18月龄和4岁），全身肌肉丰满，体躯平滑丰润，发育良好，被毛光亮、滋润，四肢粗壮，大腿肌肉丰满，母牛乳房发育中等，西门塔尔体重≥300㎏，安格斯体重≥320㎏，荷斯坦体重≥300㎏；牦牛2岁以上（含2岁）体重≥160㎏。验收标准：饲养3个月以上，符合引进标准，并提供购买牲畜合同、发票及疫病检测报告（口蹄疫、布病）等，验收合格后给予4000元/头补助，原则上按照不超过当地市场价格的40%进行补助，通过“一卡通”直接发放补助资金。</t>
  </si>
  <si>
    <t>头</t>
  </si>
  <si>
    <t>经济效益：带动帮扶对象6179户发展畜牧业，户均享受补助6428元。
社会效益：促进畜牧产业发展，群众满意度≥95%。</t>
  </si>
  <si>
    <t>畜牧园区管委会</t>
  </si>
  <si>
    <t>周学鹏</t>
  </si>
  <si>
    <t>养殖业</t>
  </si>
  <si>
    <t>yc2025015</t>
  </si>
  <si>
    <t>叶城县2025年引进良种母羊补助项目</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</si>
  <si>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</si>
  <si>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项目总投资1614.84万元
建设内容：引进良种母羊（脱贫户、监测户）6538户40371只，400元/只，其中阿克塔什镇186户2589只、巴仁乡61户454只、白杨镇147户383只、伯西热克镇1432户12689只、河园镇439户1620只、江格勒斯乡66户228只、金果镇44户250只、柯克亚乡35户456只、洛克乡261户1125只、恰尔巴格镇717户5361只、恰其库木管理区64户555只、铁提乡126户527只、吐古其乡632户1811只、乌吉热克乡134户950只、乌夏巴什镇375户3978只、夏合甫乡772户1926只、依力克其乡219户703只、依提木孔镇479户1935只、宗朗乡316户2469只、东城区9户122只、中城区24户240只。
引进多胎能繁母羊品种：萨福克、杜波、湖羊、多浪羊、皮山红羊、木吉羊、小尾寒羊。引进范围及要求：跨县域、跨地区、跨疆外的种畜场、扩繁场购买引进，即：种畜场是有种畜禽经营许可证；扩繁场是指在县级以上畜牧兽医主管部门办理养殖备案、取得畜禽养殖代码，并在新疆畜牧兽医大数据平台和农业农村部养殖场直连直报系统登记备案的，信息可查询。引进标准：10月龄以上-4岁以下（含10月龄和4岁），皮肤无皱褶，被毛匀度较好体型宽大，鼻梁平直，耳适中横立，体躯宽长呈长方形，胸部宽且肌肉丰满，四肢端正而结实，背腰部宽平而紧凑，萨福克羊体重≥40㎏，杜波羊体重≥40㎏，湖羊体重≥30㎏，多浪羊体重≥35㎏，皮山红羊体重≥30㎏，木吉羊体重≥30㎏，小尾寒羊体重≥35㎏。验收标准：饲养3个月以上，符合引进标准，并提供购买牲畜合同、发票及疫病检测报告（口蹄疫、布病、小反刍兽疫）等，验收合格后给予400元/只补贴，原则上按照不超过当地市场价格的40%进行补助，通过“一卡通”直接发放补助资金。</t>
  </si>
  <si>
    <t>只</t>
  </si>
  <si>
    <t>经济效益：带动帮扶对象6536户发展畜牧业，户均享受补助2471元。
社会效益：促进畜牧产业发展，群众满意度≥95%。</t>
  </si>
  <si>
    <t>yc2025016</t>
  </si>
  <si>
    <t>叶城县2025年自繁良种母牛补助项目</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</si>
  <si>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</si>
  <si>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项目总投资6075.9万元
建设内容：自繁良种母牛（脱贫户、监测户）13014户20253头，3000元/头，其中阿克塔什镇511户605头、巴仁乡198户332头、白杨镇419户607头、伯西热克镇1391户2215头、河园镇440户536头、江格勒斯乡369户529头、金果镇84户178头、柯克亚乡209户521头、洛克乡997户2062头、棋盘乡326户928头、恰尔巴格镇663户933头、恰其库木管理区236户243头、铁提乡373户490头、吐古其乡481户812头、乌吉热克乡551户681头、乌夏巴什镇1567户3013头、西合休乡1016户1016亩、夏合甫乡779户1000头、依力克其乡671户1010头、依提木孔镇745户1135头、宗朗乡433户642头、东城区99户309头、中城区456户456头。
自繁标准：新增牛犊必须是母牛，购买的母牛犊不能纳入申报补贴范围之内。验收标准：饲养3个月以上，符合自繁标准，验收合格后给予3000元/头补助，通过“一卡通”直接拨付补助资金。</t>
  </si>
  <si>
    <t>经济效益：带动帮扶对象13011户发展畜牧业，户均享受补助4670元。
社会效益：促进畜牧产业发展，群众满意度≥95%。</t>
  </si>
  <si>
    <t>yc2025017</t>
  </si>
  <si>
    <t>叶城县2025年自繁良种母羊补助项目</t>
  </si>
  <si>
    <t>项目总投资3815.13万元
建设内容：自繁良种母羊（脱贫户、监测户）19488户127171只，300元/只，其中阿克塔什镇669户9006只、巴仁乡373户1913只、白杨镇694户3172只、伯西热克镇1890户12413只、河园镇958户3914只、江格勒斯乡576户2659只、金果镇304户1845只、柯克亚乡289户3869只、洛克乡1673户12481只、棋盘乡328户4768只、恰尔巴格镇910户5920只、恰其库木管理区182户491只、铁提乡453户1410只、吐古其乡946户3909只、乌吉热克乡855户3702只、乌夏巴什镇2278户20318只、西合休乡1016户5080亩、夏合甫乡1094户3965只、依力克其乡886户4579只、依提木孔镇1333户6955只、宗朗乡626户3858只、东城区384户7186只、中城区771户3758只。
自繁母羊品种：萨福克、杜波、湖羊、多浪羊、皮山红羊、木吉羊、小尾寒羊、叶城羊。自繁标准：新增羔羊必须是母羊，购买的母羔羊不能纳入申报补贴范围之内。验收标准：饲养3个月以上，符合自繁标准，验收合格后给予300元/只补贴，通过“一卡通”直接拨付补助资金。</t>
  </si>
  <si>
    <t>经济效益：带动帮扶对象19473户发展畜牧业，户均享受补助1959元。
社会效益：促进畜牧产业发展，群众满意度≥95%。</t>
  </si>
  <si>
    <t>yc2025018</t>
  </si>
  <si>
    <t>叶城县2025年鸡养殖补助项目</t>
  </si>
  <si>
    <t>巴仁乡、白杨镇、伯西热克镇、河园镇、江格勒斯乡、金果镇、洛克乡、棋盘乡、恰尔巴格镇、恰其库木管理区、铁提乡、吐古其乡、乌吉热克乡、乌夏巴什镇、夏合甫乡、依力克其乡、依提木孔镇、宗朗乡</t>
  </si>
  <si>
    <t>项目总投资238.503万元
建设内容：鸡养殖（脱贫户、监测户）4464户238503羽，10元/羽，其中巴仁乡8户500羽、白杨镇132户9450羽、伯西热克镇525户30953羽、河园镇324户9010羽、江格勒斯乡231户11780羽、金果镇56户11815羽、洛克乡639户26701羽、棋盘乡13户770羽、恰尔巴格镇320户17000羽、恰其库木管理区239户12955羽、铁提乡112户6462羽、吐古其乡719户35950羽、乌吉热克乡38户1220羽、乌夏巴什镇32户2005羽、夏合甫乡108户5740羽、依力克其乡352户20819羽、依提木孔镇524户29813羽、宗朗乡92户5560羽。</t>
  </si>
  <si>
    <t>羽</t>
  </si>
  <si>
    <t>经济效益：带动帮扶对象4504户养殖家禽，户均享受补助530元。
社会效益：促进畜牧产业发展，群众满意度≥95%。</t>
  </si>
  <si>
    <t>yc2025019</t>
  </si>
  <si>
    <t>叶城县2025年鸭养殖补助项目</t>
  </si>
  <si>
    <t>白杨镇、伯西热克镇、河园镇、江格勒斯乡、金果镇、洛克乡、恰尔巴格镇、铁提乡、吐古其乡、乌吉热克乡、乌夏巴什镇、夏合甫乡、依力克其乡、依提木孔镇</t>
  </si>
  <si>
    <t>项目总投资50.519万元
建设内容：鸭养殖（脱贫户、监测户）1040户50519羽，10元/羽，其中白杨镇13户770羽、伯西热克镇183户9814羽、河园镇100户1530羽、江格勒斯乡56户2850羽、金果镇10户550羽、洛克乡203户10687羽、恰尔巴格镇42户2400羽、铁提乡2户100羽、吐古其乡320户16000羽、乌吉热克乡4户120羽、乌夏巴什镇5户250羽、夏合甫乡30户1568羽、依力克其乡8户550羽、依提木孔镇64户3330羽。</t>
  </si>
  <si>
    <t>经济效益：带动帮扶对象1051户养殖家禽，户均享受补助481元。
社会效益：促进畜牧产业发展，群众满意度≥95%。</t>
  </si>
  <si>
    <t>yc2025020</t>
  </si>
  <si>
    <t>叶城县2025年鹅养殖补助项目</t>
  </si>
  <si>
    <t>伯西热克镇、河园镇、江格勒斯乡、金果镇、洛克乡、恰尔巴格镇、恰其库木管理区、铁提乡、吐古其乡、乌吉热克乡、乌夏巴什镇、夏合甫乡、依力克其乡、依提木孔镇、宗朗乡</t>
  </si>
  <si>
    <t>项目总投资44.255万元
建设内容：鹅养殖（脱贫户、监测户）871户44225羽，10元/羽，其中伯西热克镇236户12958羽、河园镇39户350羽、江格勒斯乡10户500羽、金果镇6户500羽、洛克乡78户4605羽、恰尔巴格镇50户2610羽、恰其库木管理区50户2500羽、铁提乡2户200羽、吐古其乡287户14350羽、乌吉热克乡30户785羽、乌夏巴什镇9户500羽、夏合甫乡15户750羽、依力克其乡12户850羽、依提木孔镇41户2257羽、宗朗乡6户510羽。</t>
  </si>
  <si>
    <t>经济效益：带动帮扶对象879户养殖家禽，户均享受补助503元。
社会效益：促进畜牧产业发展，群众满意度≥95%。</t>
  </si>
  <si>
    <t>yc2025021</t>
  </si>
  <si>
    <t>叶城县2025年肉鸽养殖补助项目</t>
  </si>
  <si>
    <t>白杨镇、伯西热克镇、河园镇、江格勒斯乡、金果镇、棋盘乡、恰尔巴格镇、铁提乡、吐古其乡、乌吉热克乡、乌夏巴什镇、夏合甫乡、依力克其乡、依提木孔镇、宗朗乡</t>
  </si>
  <si>
    <t>项目总投资47.2578万元
建设内容：肉鸽养殖（脱贫户、监测户）1620户157526羽，3元/羽，其中白杨镇41户4150羽、伯西热克镇347户31327羽、河园镇68户1480羽、江格勒斯乡32户3440羽、金果镇17户1700羽、棋盘乡2户2564羽、恰尔巴格镇90户9000羽、铁提乡35户4005羽、吐古其乡726户72600羽、乌吉热克乡4户400羽、乌夏巴什镇41户4380羽、夏合甫乡27户3100羽、依力克其乡33户3430羽、依提木孔镇149户15400羽、宗朗乡8户550羽。</t>
  </si>
  <si>
    <t>经济效益：带动帮扶对象1649户养殖家禽，户均享受补助287元。
社会效益：促进畜牧产业发展，群众满意度≥95%。</t>
  </si>
  <si>
    <t>yc2025022</t>
  </si>
  <si>
    <t>叶城县2025年新建青贮窖补助项目</t>
  </si>
  <si>
    <t>白杨镇、伯西热克镇、河园镇、江格勒斯乡、金果镇、洛克乡、恰尔巴格镇、吐古其乡、乌吉热克乡、乌夏巴什镇、夏合甫乡、依力克其乡、依提木孔镇、宗朗乡</t>
  </si>
  <si>
    <t>项目总投资28.1万元
建设内容：新建青贮窖（脱贫户、监测户）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
补助金额不超过支付费用的30%，新建青贮窖不超过1000元/座。</t>
  </si>
  <si>
    <t>座</t>
  </si>
  <si>
    <t>经济效益：带动帮扶对象278户实施青贮窖建设，户均享受补助1011元。
社会效益：减少秸秆焚烧带来的环境污染，实现资源的可持续利用，开发就业岗位，带动群众就业增收。</t>
  </si>
  <si>
    <t>yc2025023</t>
  </si>
  <si>
    <t>叶城县2025年改造青贮窖补助项目</t>
  </si>
  <si>
    <t>白杨镇、伯西热克镇、江格勒斯乡、金果镇、恰尔巴格镇、吐古其乡、乌吉热克乡、乌夏巴什镇、夏合甫乡、依提木孔镇、宗朗乡</t>
  </si>
  <si>
    <t>项目总投资15.85万元
建设内容：改造青贮窖（脱贫户、监测户）298户317座，500元/座，其中白杨镇3户3座、伯西热克镇24户24座、江格勒斯乡5户7座、金果镇2户2座、恰尔巴格镇15户16座、吐古其乡58户58座、乌吉热克乡3户3座、乌夏巴什镇161户177座、夏合甫乡4户4座、依提木孔镇3户3座、宗朗乡20户20座。
补助金额不超过支付费用的30%，改建青贮窖（支持修缮青贮窖，改善饲草压制的基础设施，达到生产安全条件）不超过500元。</t>
  </si>
  <si>
    <t>经济效益：带动帮扶对象298户实施改造青贮窖，户均享受补助532元。
社会效益：减少秸秆焚烧带来的环境污染，实现资源的可持续利用，开发就业岗位，带动群众就业增收。</t>
  </si>
  <si>
    <t>yc2025024</t>
  </si>
  <si>
    <t>叶城县2025年养殖圈舍设施改造补助项目</t>
  </si>
  <si>
    <t>白杨镇、伯西热克镇、河园镇、江格勒斯乡、金果镇、柯克亚乡、棋盘乡、恰尔巴格镇、铁提乡、吐古其乡、乌吉热克乡、乌夏巴什镇、夏合甫乡、依力克其乡、依提木孔镇、宗朗乡</t>
  </si>
  <si>
    <t>项目总投资282.6万元
建设内容：养殖圈舍设施改造（脱贫户、监测户）2804户2826座，1000元/座，其中白杨镇409户409座、伯西热克镇197户197座、河园镇171户193座、江格勒斯乡285户285座、金果镇7户7座、柯克亚乡4户4座、棋盘乡83户83座、恰尔巴格镇268户268座、铁提乡5户5座、吐古其乡951户951座、乌吉热克乡48户48座、乌夏巴什镇80户80座、夏合甫乡13户13座、依力克其乡2户2座、依提木孔镇179户179座、宗朗乡102户102座。
按不超过改造成本的30%，一次性最高补助标准不超过1000元。</t>
  </si>
  <si>
    <t>经济效益：带动帮扶对象2804户实施养殖圈舍设施改造，户均享受补助1008元。
社会效益：有效减少牲畜疾病发生，提高牲畜成活率和生长速度，群众满意度≥95%。</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</si>
  <si>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</si>
  <si>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</si>
  <si>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</si>
  <si>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脱贫户、监测户）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
发展牛羊等养殖并经营稳定。利用永久性青贮窖加工制作青贮或青贮打包发酵等，制作青贮或打包青贮10吨以上的养殖户，每吨补助不超过50元。</t>
  </si>
  <si>
    <t>吨</t>
  </si>
  <si>
    <t>经济效益：带动帮扶对象2071户实施饲草料压制发酵，户均享受补助1388元。
社会效益：提高饲料转化率和利用率，减少资源浪费，群众满意度≥95%。</t>
  </si>
  <si>
    <t>yc2025026</t>
  </si>
  <si>
    <t>叶城县2025年小额贷款贴息</t>
  </si>
  <si>
    <t>小额贷款贴息</t>
  </si>
  <si>
    <t>叶城县各乡镇（区）</t>
  </si>
  <si>
    <t>项目总投资1000万元
建设内容：为全县32673户脱贫户、10185户监测户实施小额贷款贴息补助。</t>
  </si>
  <si>
    <t>户</t>
  </si>
  <si>
    <t>经济效益：降低农户融资成本及生产支出户均1300元/年
社会效益：促进产业发展，增加农民收入，群众满意度≥95%。</t>
  </si>
  <si>
    <t>（二）粮食产能提质增效</t>
  </si>
  <si>
    <t>yc2025027</t>
  </si>
  <si>
    <t>叶城县2025年巴仁乡林粮间作节水项目</t>
  </si>
  <si>
    <t>巴仁乡</t>
  </si>
  <si>
    <t>项目总投资630万元
建设内容：林粮间作节水3500亩，1800元/亩，配套沉砂池、泵房及电力设施等。</t>
  </si>
  <si>
    <t>经济效益：实施林粮间作节水3500亩，亩均降低投入成本5-20元。
社会效益：带动当地脱贫户就业，吸纳务工人数27人以上，提高人均收入。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</si>
  <si>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yc2025028</t>
  </si>
  <si>
    <t>叶城县2025年白杨镇林粮间作节水项目</t>
  </si>
  <si>
    <t>白杨镇</t>
  </si>
  <si>
    <t>项目总投资1075.63万元
建设内容：林粮间作节水5975.7亩，1800元/亩，配套沉砂池、泵房及电力设施等。</t>
  </si>
  <si>
    <t>经济效益：实施林粮间作节水5975.7亩，亩均降低投入成本5-20元。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</si>
  <si>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yc2025029</t>
  </si>
  <si>
    <t>叶城县2025年伯西热克镇林粮间作节水项目</t>
  </si>
  <si>
    <t>伯西热克镇</t>
  </si>
  <si>
    <t>项目总投资1529.88万元
建设内容：林粮间作节水7600亩，1800元/亩，配套沉砂池、泵房及电力设施等。</t>
  </si>
  <si>
    <t>经济效益：实施林粮间作节水7600亩，亩均降低投入成本5-20元。
社会效益：带动当地脱贫户就业，吸纳务工人数60人以上，提高人均收入。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</si>
  <si>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yc2025030</t>
  </si>
  <si>
    <t>叶城县2025年河园镇林粮间作节水项目</t>
  </si>
  <si>
    <t>河园镇</t>
  </si>
  <si>
    <t>项目总投资1180.8万元
建设内容：林粮间作节水6560亩，1800元/亩，配套沉砂池、泵房及电力设施等。</t>
  </si>
  <si>
    <t>经济效益：实施林粮间作节水6560亩，亩均降低投入成本5-20元。
社会效益：带动当地脱贫户就业，吸纳务工人数40人以上，提高人均收入。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</si>
  <si>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yc2025031</t>
  </si>
  <si>
    <t>叶城县2025年江格勒斯乡林粮间作节水项目</t>
  </si>
  <si>
    <t>江格勒斯乡</t>
  </si>
  <si>
    <t>项目总投资1248.66万元
建设内容：林粮间作节水6937亩，1800元/亩，配套沉砂池、泵房及电力设施等。</t>
  </si>
  <si>
    <t>经济效益：实施林粮间作节水6937亩，亩均降低投入成本5-20元。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</si>
  <si>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yc2025032</t>
  </si>
  <si>
    <t>叶城县2025年柯克亚乡林粮间作节水项目</t>
  </si>
  <si>
    <t>柯克亚乡</t>
  </si>
  <si>
    <t>项目总投资270万元
建设内容：林粮间作节水1500亩，1800元/亩，配套沉砂池、泵房及电力设施等。</t>
  </si>
  <si>
    <t>经济效益：实施林粮间作节水1500亩，亩均降低投入成本5-20元。
社会效益：带动当地脱贫户就业，吸纳务工人数30人以上，提高人均收入。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</si>
  <si>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yc2025033</t>
  </si>
  <si>
    <t>叶城县2025年洛克乡林粮间作节水项目</t>
  </si>
  <si>
    <t>洛克乡</t>
  </si>
  <si>
    <t>项目总投资882万元
建设内容：林粮间作节水4900亩，1800元/亩，配套沉砂池、泵房及电力设施等。</t>
  </si>
  <si>
    <t>经济效益：实施林粮间作节水4900亩，亩均降低投入成本5-20元。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</si>
  <si>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yc2025034</t>
  </si>
  <si>
    <t>叶城县2025年恰尔巴格镇林粮间作节水项目</t>
  </si>
  <si>
    <t>恰尔巴格镇</t>
  </si>
  <si>
    <t>项目总投资1273.68万元
建设内容：林粮间作节水7076亩，1800元/亩，配套沉砂池、泵房及电力设施等。</t>
  </si>
  <si>
    <t>经济效益：实施林粮间作节水7076亩，亩均降低投入成本5-20元。
社会效益：带动当地脱贫户就业，吸纳务工人数70人以上，提高人均收入。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</si>
  <si>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yc2025035</t>
  </si>
  <si>
    <t>叶城县2025年恰其库木管理区林粮间作节水项目</t>
  </si>
  <si>
    <t>恰其库木管理区</t>
  </si>
  <si>
    <t>项目总投资876万元
建设内容：林粮间作节水4870亩，1800元/亩，配套沉砂池、泵房及电力设施等。</t>
  </si>
  <si>
    <t>经济效益：实施林粮间作节水4870亩，亩均降低投入成本5-20元。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</si>
  <si>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yc2025036</t>
  </si>
  <si>
    <t>叶城县2025年铁提乡林粮间作节水项目</t>
  </si>
  <si>
    <t>铁提乡</t>
  </si>
  <si>
    <t>项目总投资783万元
建设内容：林粮间作节水4350亩，1800元/亩，配套沉砂池、泵房及电力设施等。</t>
  </si>
  <si>
    <t>经济效益：实施林粮间作节水4350亩，亩均降低投入成本5-20元。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</si>
  <si>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yc2025037</t>
  </si>
  <si>
    <t>叶城县2025年吐古其乡林粮间作节水项目</t>
  </si>
  <si>
    <t>吐古其乡</t>
  </si>
  <si>
    <t>项目总投资876.24万元
建设内容：林粮间作节水4868亩，1800元/亩，配套沉砂池、泵房及电力设施等。</t>
  </si>
  <si>
    <t>经济效益：实施林粮间作节水4868亩，亩均降低投入成本5-20元。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</si>
  <si>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yc2025038</t>
  </si>
  <si>
    <t>叶城县2025年乌吉热克乡林粮间作节水项目</t>
  </si>
  <si>
    <t>乌吉热克乡</t>
  </si>
  <si>
    <t>项目总投资858.6万元
建设内容：林粮间作节水4770亩，1800元/亩，配套沉砂池、泵房及电力设施等。</t>
  </si>
  <si>
    <t>经济效益：实施林粮间作节水4770亩，亩均降低投入成本5-20元。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</si>
  <si>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yc2025039</t>
  </si>
  <si>
    <t>叶城县2025年夏合甫乡林粮间作节水项目</t>
  </si>
  <si>
    <t>夏合甫乡</t>
  </si>
  <si>
    <t>项目总投资897.66万元
建设内容：林粮间作节水4987亩，1800元/亩，配套沉砂池、泵房及电力设施等。</t>
  </si>
  <si>
    <t>经济效益：实施林粮间作节水4987亩，亩均降低投入成本5-20元。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</si>
  <si>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yc2025040</t>
  </si>
  <si>
    <t>叶城县2025年依力克其乡林粮间作节水项目</t>
  </si>
  <si>
    <t>依力克其乡</t>
  </si>
  <si>
    <t>项目总投资1100.7万元
建设内容：林粮间作节水6115亩，1800元/亩，配套沉砂池、泵房及电力设施等。</t>
  </si>
  <si>
    <t>经济效益：实施林粮间作节水6115亩，亩均降低投入成本5-20元。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</si>
  <si>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yc2025041</t>
  </si>
  <si>
    <t>叶城县2025年依提木孔镇林粮间作节水项目</t>
  </si>
  <si>
    <t>依提木孔镇</t>
  </si>
  <si>
    <t>项目总投资2635.2万元
建设内容：林粮间作节水14640亩，1800元/亩，配套沉砂池、泵房及电力设施等。</t>
  </si>
  <si>
    <t>经济效益：实施林粮间作节水14640亩，亩均降低投入成本5-20元。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</si>
  <si>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yc2025042</t>
  </si>
  <si>
    <t>叶城县2025年宗朗乡林粮间作节水项目</t>
  </si>
  <si>
    <t>宗朗乡</t>
  </si>
  <si>
    <t>项目总投资441万元
建设内容：林粮间作节水2450亩，1800元/亩，配套沉砂池、泵房及电力设施等。</t>
  </si>
  <si>
    <t>经济效益：实施林粮间作节水2450亩，亩均降低投入成本5-20元。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</si>
  <si>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yc2025043</t>
  </si>
  <si>
    <t>叶城县2025年白杨镇土地碎片化建设项目</t>
  </si>
  <si>
    <t>项目总投资413.25万元
建设内容：实施土地碎片化2755亩，1500元/亩。</t>
  </si>
  <si>
    <t>经济效益：实施土地碎片化整理2755亩，带动临时就业≥10人，人均月工资≥2500元，促进亩产增收50-100元。
社会效益：增加土地使用效益，提高农业生产效率，优化土地资源利用。</t>
  </si>
  <si>
    <t>yc2025044</t>
  </si>
  <si>
    <t>叶城县2025年伯西热克镇土地碎片化建设项目</t>
  </si>
  <si>
    <t>项目总投资750万元
建设内容：实施土地碎片化5000亩，1500元/亩。</t>
  </si>
  <si>
    <t>经济效益：实施土地碎片化整理5000亩，带动临时就业≥30人，人均月工资≥2500元，促进亩产增收50-100元。
社会效益：增加土地使用效益，提高农业生产效率，优化土地资源利用。</t>
  </si>
  <si>
    <t>yc2025045</t>
  </si>
  <si>
    <t>叶城县2025年江格勒斯乡土地碎片化建设项目</t>
  </si>
  <si>
    <t>项目总投资900万元
建设内容：实施土地碎片化6000亩，1500元/亩。</t>
  </si>
  <si>
    <t>经济效益：实施土地碎片化整理6000亩，带动临时就业≥30人，人均月工资≥2500元，促进亩产增收50-100元。
社会效益：增加土地使用效益，提高农业生产效率，优化土地资源利用。</t>
  </si>
  <si>
    <t>yc2025046</t>
  </si>
  <si>
    <t>叶城县2025年金果镇土地碎片化建设项目</t>
  </si>
  <si>
    <t>金果镇</t>
  </si>
  <si>
    <t>项目总投资42万元
建设内容：实施土地碎片化280亩，1500元/亩。</t>
  </si>
  <si>
    <t>经济效益：实施土地碎片化整理280亩，带动临时就业≥5人，人均月工资≥2500元，促进亩产增收50-100元。
社会效益：增加土地使用效益，提高农业生产效率，优化土地资源利用。</t>
  </si>
  <si>
    <t>yc2025047</t>
  </si>
  <si>
    <t>叶城县2025年柯克亚乡土地碎片化建设项目</t>
  </si>
  <si>
    <t>项目总投资225万元
建设内容：实施土地碎片化1500亩，1500元/亩。</t>
  </si>
  <si>
    <t>经济效益：实施土地碎片化整理1500亩，带动临时就业≥10人，人均月工资≥2500元，促进亩产增收50-100元。
社会效益：增加土地使用效益，提高农业生产效率，优化土地资源利用。</t>
  </si>
  <si>
    <t>yc2025048</t>
  </si>
  <si>
    <t>叶城县2025年恰尔巴格镇土地碎片化建设项目</t>
  </si>
  <si>
    <t>项目总投资595.5万元
建设内容：实施土地碎片化3970亩，1500元/亩。</t>
  </si>
  <si>
    <t>经济效益：实施土地碎片化整理3970亩，带动临时就业≥30人，人均月工资≥2500元，促进亩产增收50-100元。
社会效益：增加土地使用效益，提高农业生产效率，优化土地资源利用。</t>
  </si>
  <si>
    <t>yc2025049</t>
  </si>
  <si>
    <t>叶城县2025年恰其库木管理区土地碎片化建设项目</t>
  </si>
  <si>
    <t>项目总投资1627.5万元
建设内容：实施土地碎片化8850亩，1500元/亩。</t>
  </si>
  <si>
    <t>经济效益：实施土地碎片化整理10850亩，带动临时就业≥40人，人均月工资≥2500元，促进亩产增收50-100元。
社会效益：增加土地使用效益，提高农业生产效率，优化土地资源利用。</t>
  </si>
  <si>
    <t>yc2025050</t>
  </si>
  <si>
    <t>叶城县2025年乌吉热克乡土地碎片化建设项目</t>
  </si>
  <si>
    <t>项目总投资1014.75万元
建设内容：实施土地碎片化6765亩，1500元/亩，。</t>
  </si>
  <si>
    <t>经济效益：实施土地碎片化整理6765亩，带动临时就业≥30人，人均月工资≥2500元，促进亩产增收50-100元。
社会效益：增加土地使用效益，提高农业生产效率，优化土地资源利用。</t>
  </si>
  <si>
    <t>yc2025051</t>
  </si>
  <si>
    <t>叶城县2025年夏合甫乡土地碎片化建设项目</t>
  </si>
  <si>
    <t>项目总投资525.6万元
建设内容：实施土地碎片化3504亩，1500元/亩。</t>
  </si>
  <si>
    <t>经济效益：实施土地碎片化整理3504亩，带动临时就业≥20人，人均月工资≥2500元，促进亩产增收50-100元。
社会效益：增加土地使用效益，提高农业生产效率，优化土地资源利用。</t>
  </si>
  <si>
    <t>yc2025052</t>
  </si>
  <si>
    <t>叶城县2025年依力克其乡土地碎片化建设项目</t>
  </si>
  <si>
    <t>项目总投资322.5万元
建设内容：实施土地碎片化2150亩，1500元/亩。</t>
  </si>
  <si>
    <t>经济效益：实施土地碎片化整理1000亩，带动临时就业≥10人，人均月工资≥2500元，促进亩产增收50-100元。
社会效益：增加土地使用效益，提高农业生产效率，优化土地资源利用。</t>
  </si>
  <si>
    <t>yc2025053</t>
  </si>
  <si>
    <t>叶城县2025年依提木孔镇土地碎片化建设项目</t>
  </si>
  <si>
    <t>项目总投资1200万元
建设内容：实施土地碎片化8000亩，1500元/亩。</t>
  </si>
  <si>
    <t>经济效益：实施土地碎片化整理8000亩，带动临时就业≥50人，人均月工资≥2500元，促进亩产增收50-100元。
社会效益：增加土地使用效益，提高农业生产效率，优化土地资源利用。</t>
  </si>
  <si>
    <t>yc2025054</t>
  </si>
  <si>
    <t>叶城县2025年宗朗乡土地碎片化建设项目</t>
  </si>
  <si>
    <t>项目总投资616.5万元
建设内容：实施土地碎片化4110亩，1500元/亩。</t>
  </si>
  <si>
    <t>经济效益：实施土地碎片化整理4110亩，带动临时就业≥30人，人均月工资≥2500元，促进亩产增收50-100元。
社会效益：增加土地使用效益，提高农业生产效率，优化土地资源利用。</t>
  </si>
  <si>
    <t>（三）林果产业提质增效</t>
  </si>
  <si>
    <t>yc2025055</t>
  </si>
  <si>
    <t>叶城县2025年伯西热克镇石榴定植项目</t>
  </si>
  <si>
    <t>项目总投资120万元
建设内容：种植石榴600亩，2000元/亩。</t>
  </si>
  <si>
    <t>经济效益：实现亩均纯收入达到≥5000元。
社会效益：林果定植600亩，提高林果品质。群众满意度≥95%。带动受益脱贫人口（含监测帮扶对象）≥30人。推动叶城县区域内果品产业发展，保障市场供给和当地果蔬交易，壮大叶城县农业经济。</t>
  </si>
  <si>
    <t>yc2025056</t>
  </si>
  <si>
    <t>叶城县2025年欠发达国有农场资金建设项目</t>
  </si>
  <si>
    <t>夏合甫乡园艺场（叶城县果有园园艺有限公司）</t>
  </si>
  <si>
    <t>项目总投资101万元
建设内容：土地平整280亩，林果定植280亩。</t>
  </si>
  <si>
    <t>经济效益：实现亩均纯收入达到≥2000元。
社会效益：林果定植280亩，提高林果品质。群众满意度≥95%。</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</si>
  <si>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</si>
  <si>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</si>
  <si>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</si>
  <si>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</si>
  <si>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</si>
  <si>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经济效益：实现亩均增收50-100元。
社会效益：通过项目实施，实现林果示范园每亩增产、增收，带动群众发展林果业，实现稳定增收，示范推进片区林果业提质增效。</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</si>
  <si>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</si>
  <si>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</si>
  <si>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</si>
  <si>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</si>
  <si>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</si>
  <si>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</si>
  <si>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</si>
  <si>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</si>
  <si>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经济效益：带动林场经济增收10万元以上。
社会效益：带动就业5人以上，通过品种改良，提高林果产量，育苗基地建设对于促进防沙治沙具有积极意义。</t>
  </si>
  <si>
    <t>yc2025060</t>
  </si>
  <si>
    <t>叶城县2025年林果有害生物飞防项目</t>
  </si>
  <si>
    <t>项目总投资1800万元
建设内容：针对60万亩林果春尺蠖、黄刺蛾、蚜虫、红蜘蛛等病虫害进行飞防两遍，共计120万亩次，15元/亩/次。</t>
  </si>
  <si>
    <t>经济效益：带动全县核桃种植户增收200万元以上。
社会效益：通过病虫害防治，提高林果产量，带动群众和增收致富。</t>
  </si>
  <si>
    <t>yc2025061</t>
  </si>
  <si>
    <t>叶城县2025年核桃蛀果害虫防治项目</t>
  </si>
  <si>
    <t>项目总投资2400万元
建设内容：20万亩核桃蛀果害虫防治，120元/亩。</t>
  </si>
  <si>
    <t>经济效益：带动全县核桃产业增收200万元以上。
社会效益：通过病虫害防治，提高林果产量，带动群众和增收致富。</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</si>
  <si>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</si>
  <si>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</si>
  <si>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</si>
  <si>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</si>
  <si>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经济效益：亩均收益3000元以上，全乡17个村集体经济总收入预计达到30万元以上，预计收益5年以上，收益入各村股份经济合作社。
社会效益：带动本村脱贫户、监测户实施种植、采摘、日常管护，发放劳务报酬，增加群众收入。</t>
  </si>
  <si>
    <t>壮大村集体经济</t>
  </si>
  <si>
    <t>yc2025063</t>
  </si>
  <si>
    <t>叶城县2025年设施农业提升改造建设项目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</si>
  <si>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</si>
  <si>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</si>
  <si>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经济效益：能提高农产品产量和品质，实现错季上市，从而提高售价。同时，可降低自然灾害对农作物的影响，保证稳定产出，带来更多收益。
社会效益：增加就业机会，包括建设期间和后期运营维护、采摘等环节。还能保障农产品稳定供应，平抑物价。
生态效益：一定程度上减少了传统露地种植对土地的过度开垦，提高土地利用率。而且合理的灌溉和温控措施可节约水资源，降低对环境的负面影响。</t>
  </si>
  <si>
    <t>由村集体运营管护，承租给农户，每座大棚租赁费提高400-600元，就业带动，建设过程中吸纳周边农民参与，提供短期务工机会，建成后在种植、采摘、维护等环节雇佣农民为长期员工，增加农民收入。技术培训与推广，向农民传授温室大棚种植技术、病虫害防治技术等，提升农民农业技能，让他们能利用这些技术发展自己的农业生产。</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</si>
  <si>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</si>
  <si>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</si>
  <si>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</si>
  <si>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</si>
  <si>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经济效益：资产量化到村，每年增加村集体经济收入共97.5万元。
社会效益：带动临时就业400人以上，稳定就业200人以上，保障县内蔬菜供应，同时保障周边地区蔬菜供应。</t>
  </si>
  <si>
    <t>园艺站</t>
  </si>
  <si>
    <t>高华江</t>
  </si>
  <si>
    <t>yc2025065</t>
  </si>
  <si>
    <t>叶城县2025年洛克乡温室大棚建设项目</t>
  </si>
  <si>
    <t>洛克乡6村</t>
  </si>
  <si>
    <t>项目总投资：1875万元。
建设内容：新建温室大棚37500平方米，折合50*10米标准温室大棚75座，25万元/座，及附属配套建设。</t>
  </si>
  <si>
    <t>经济效益：资产量化到村，每年增加村集体经济收入共45万元。
社会效益：带动临时就业75人以上，稳定就业100人以上，保障县内蔬菜供应，同时保障周边地区蔬菜供应。</t>
  </si>
  <si>
    <t>yc2025066</t>
  </si>
  <si>
    <t>叶城县2025年伯西热克镇温室大棚建设项目</t>
  </si>
  <si>
    <t>伯西热克镇15村</t>
  </si>
  <si>
    <t>项目总投资：250万元。
建设内容：新建温室大棚5000平方米，折合50*10米标准温室大棚10座，25万元/座，及附属配套建设。</t>
  </si>
  <si>
    <t>经济效益：资产量化到村，每年增加村集体经济收入共8万元。
社会效益：带动临时就业20人以上，稳定就业15人以上，发展特色乡村旅游采摘，丰富石榴风情园旅游内容，促进乡村旅游发展。</t>
  </si>
  <si>
    <t>yc2025067</t>
  </si>
  <si>
    <t>叶城县2025年金果镇联栋温室建设项目</t>
  </si>
  <si>
    <t>金果镇4村</t>
  </si>
  <si>
    <t>项目总投资2980万元
建设内容：新建智能连栋温室5000㎡，连栋温室30000㎡，面包棚14000㎡，及相关配套附属设施。</t>
  </si>
  <si>
    <t>万平方米</t>
  </si>
  <si>
    <t>经济效益：预计带动用工30人，人均工资每月不低于3000元，租金收益28万元。
社会效益：项目建成后通过研习花卉种植技术可极大提升学习人员的整体素质，推动本地花卉产业向上向好发展，填补本地花卉市场的空缺，带动当地群众积极投身花卉种植，带动群众增收致富。</t>
  </si>
  <si>
    <t>通过招商引资引入北京花立方花卉发展有限公司入驻，企业租赁玻璃温室大棚用于花卉产业生产，同步与农民签订浏览协议种植花卉，农民在产业园学习花卉种植技术预计带动用工30人，租赁用地28000㎡，每年收益28万元。</t>
  </si>
  <si>
    <t>yc2025068</t>
  </si>
  <si>
    <t>叶城县2025年金果镇10村花卉市场建设项目</t>
  </si>
  <si>
    <t>市场建设和农村物流</t>
  </si>
  <si>
    <t>金果镇10村</t>
  </si>
  <si>
    <t>项目总投资2900万元
建设内容：新建2000㎡花卉市场及附属配套，占地30亩。</t>
  </si>
  <si>
    <t>平方米</t>
  </si>
  <si>
    <t>经济效益：预计用工80人，人均工资每月不低于3000元，租金收益30万元。
社会效益：完善农村市场基础，增加农村经济活力，填补本地花卉市场的空缺，带动当地群众积极投身花卉种植，带动群众增收致富。</t>
  </si>
  <si>
    <t>通过招商引资引入北京花立方花卉发展有限公司入驻，通过建设花卉加工基地和销售包装市场，带动花卉产业的物流和销售环节，预计用工80人，预计每年产生收益30万元。</t>
  </si>
  <si>
    <t>住建局</t>
  </si>
  <si>
    <t>辜永亮</t>
  </si>
  <si>
    <t>（五）畜牧产业提质增效</t>
  </si>
  <si>
    <t>yc2025069</t>
  </si>
  <si>
    <t>叶城县2025年粪污完善提升建设项目</t>
  </si>
  <si>
    <t>扩建</t>
  </si>
  <si>
    <t>洛克乡1村</t>
  </si>
  <si>
    <r>
      <rPr>
        <sz val="16"/>
        <rFont val="仿宋"/>
        <charset val="134"/>
      </rPr>
      <t>项目总投资2000万元
建设内容：生猪养殖区建设120m</t>
    </r>
    <r>
      <rPr>
        <sz val="16"/>
        <rFont val="宋体"/>
        <charset val="134"/>
      </rPr>
      <t>³</t>
    </r>
    <r>
      <rPr>
        <sz val="16"/>
        <rFont val="仿宋"/>
        <charset val="134"/>
      </rPr>
      <t>集粪池1座、20m</t>
    </r>
    <r>
      <rPr>
        <sz val="16"/>
        <rFont val="宋体"/>
        <charset val="134"/>
      </rPr>
      <t>³</t>
    </r>
    <r>
      <rPr>
        <sz val="16"/>
        <rFont val="仿宋"/>
        <charset val="134"/>
      </rPr>
      <t>集粪池6座、0.7万m</t>
    </r>
    <r>
      <rPr>
        <sz val="16"/>
        <rFont val="宋体"/>
        <charset val="134"/>
      </rPr>
      <t>³</t>
    </r>
    <r>
      <rPr>
        <sz val="16"/>
        <rFont val="仿宋"/>
        <charset val="134"/>
      </rPr>
      <t>污水收集池2座，配套固液干湿分离设备7台/套，铺设DE500HDPE管道约1800公里、矩形渠道约1000公里、污水处理设施设备2台/套及附属设施设备等。家禽养殖小区新建200㎡堆粪场15座、100㎡堆粪场7座。</t>
    </r>
  </si>
  <si>
    <t>社会效益：通过畜禽粪污设施建设，有效降低畜禽粪便对环境的污染。</t>
  </si>
  <si>
    <t>yc2025070</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</si>
  <si>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</si>
  <si>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</si>
  <si>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</si>
  <si>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</si>
  <si>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经济效益方面：建设养殖小区能够实现养殖业的集约化、标准化、规模化发展。通过政府统筹资金、流转土地，企业负责运营管理的方式，不仅带动了乡村产业发展，还壮大了村级集体经济呢。养殖小区往往能够高效利用资源，提高养殖效益，实现年产值的大幅提升，为村集体经济和村民收入都带来了可观的增长。养殖小区的建设还能带动相关产业的发展，比如饲料生产、肉类加工等，进一步增加经济效益呢。
社会效益方面：养殖小区的建设它解决了养殖户分散、信息闭塞等问题，提高了农民的组织化程度。其次，养殖小区往往注重环保和生态养殖，能够减少对周边环境的影响，实现经济效益、社会效益和生态效益的统一。养殖小区的建设能够带动当地村民就业，为村民提供更多的就业机会和收入来源。</t>
  </si>
  <si>
    <t>由叶城德祥畜牧养殖场，年租金8万元左右，养殖小区建成后带动就业10余人</t>
  </si>
  <si>
    <t>yc2025071</t>
  </si>
  <si>
    <t>叶城县2025年乌吉热克乡特色水产育苗养殖基地建设项目</t>
  </si>
  <si>
    <t>乌吉热克乡18村</t>
  </si>
  <si>
    <t>项目总投资：214万元
建设内容：新建一条育苗车间1200㎡，新建化验室及库房600㎡，规格10*45米池子40个配套110管道及阀门、产品展示间300平方米及相关附属设施。养殖水域面积320亩。</t>
  </si>
  <si>
    <t>经济效益：促进村集体经济收入12万元以上，带动就业5人以上，人均工资不低于3000元。
社会效益：动当地群众发展养鱼技术，推动市场渔业发展。推进水产养殖，降低生产成本。</t>
  </si>
  <si>
    <t>由村级股份经济合作社负责经营。提高村集体收益约18万元。通过收益分红方式有效提升群众收益。预计年收益在总投资的4%以上。</t>
  </si>
  <si>
    <t>yc2025072</t>
  </si>
  <si>
    <t>叶城县2025年乌吉热克乡特色水产育苗养殖设备采购项目</t>
  </si>
  <si>
    <t>项目总投资：386万元
建设内容：育苗筒规格6*6数量48个，微粒机1台，大水箱1台，细菌屋1台（10吨），锅炉1台，发电机1台250千瓦，增氧机泵2台，跑道式水库网箱养殖1组6个（10*40）。</t>
  </si>
  <si>
    <t>个</t>
  </si>
  <si>
    <t>yc2025073</t>
  </si>
  <si>
    <t>叶城县2025年肉羊发情人工授精产业项目</t>
  </si>
  <si>
    <t>产业科技服务</t>
  </si>
  <si>
    <t>项目总投资400万元
建设内容：购买肉羊同期发情人工授精技术服务，完成全县10万只肉羊同期发情人工授精进，一步提高肉羊经济效益，带动养殖户增产增效。
补助金额不超过支付费用的50%，羊品种改良最多不超过40元。</t>
  </si>
  <si>
    <t>万只</t>
  </si>
  <si>
    <t>经济效益：有效降低群众生产成本50元/只。
社会效益：购买10万只肉羊同期发情人工授精技术服务，怀胎率达到80%以上。</t>
  </si>
  <si>
    <t>yc2025074</t>
  </si>
  <si>
    <t>叶城县2025年肉牛发情人工授精产业项目</t>
  </si>
  <si>
    <t>项目总投资200万元
建设内容：购买肉牛性控冻精同期发情人工授精技术服务，完成全县1万头肉牛同期发情人工授精，进一步提高肉牛经济效益，带动养殖户增产增效。
养殖户使用性控冻精配种母牛，并经B超定胎的，补助金额不超过支付费用的50%，牛品种改良最多不超过200元。</t>
  </si>
  <si>
    <t>万头</t>
  </si>
  <si>
    <t>经济效益：有效降低群众生产成本200元/头。
社会效益：购买1万只肉牛性控冻精同期发情人工授精技术服务，怀胎率达到90%以上。</t>
  </si>
  <si>
    <t>yc2025075</t>
  </si>
  <si>
    <t>叶城县2025年渔业种苗培育中心建设项目</t>
  </si>
  <si>
    <t>金果镇13村</t>
  </si>
  <si>
    <t>项目总投资395万元
建设内容:建设水产渔业育苗培育中心，鱼苗等繁育基地，水产饲料加工车间。</t>
  </si>
  <si>
    <t>处</t>
  </si>
  <si>
    <t>经济效益：计划用工30人，人均工资不低于3000元，年收益预计20万元。
社会效益：带动当地群众发展养鱼技术，推动市场渔业发展。</t>
  </si>
  <si>
    <t>通过招商引资引入叶城县海源养殖合作社入住，计划分三期建设，第一期2024年10月份建设高标准示范水产养殖基地以及相关附属设备，计划2024年11月中旬开始运营。社会资本计划投资210万元。主要经营，南美白对虾虾，螃蟹，加州鲈鱼，养殖，计划用工30人，年收益预计20万元。</t>
  </si>
  <si>
    <t>yc2025076</t>
  </si>
  <si>
    <t>叶城县2025年江格勒斯乡水产养殖发展配套设施项目</t>
  </si>
  <si>
    <t>江格勒斯乡9村</t>
  </si>
  <si>
    <t>项目总投资300万元
建设内容：对现有育苗车间基础设施改造提升，及水产育苗配套附属设施设备。</t>
  </si>
  <si>
    <t>套</t>
  </si>
  <si>
    <t>经济效益：计划用工20人，人均工资不低于3000元，年收益预计3万元。
社会效益：带动当地群众发展养鱼技术，推动市场渔业发展。</t>
  </si>
  <si>
    <t>由叶城县金池生态养殖有限公司运营，发展旅游业可以带动当地的经济增长，建成后，引进企业进行科学化、合理化运营，从企业角度实现利益最大化发展特色旅游，引进乡周边特色小吃入驻，形成小吃一条街，增加相关娱乐设施保障人员，引导就业困难人员进行就近就业，增加村集体收入，年租金在3万元左右，改善当地居民的生活水平，旅游业的发展会吸引大量游客前来消费。</t>
  </si>
  <si>
    <t>yc2025077</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</si>
  <si>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</si>
  <si>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</si>
  <si>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</si>
  <si>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社会效益：全年畜禽免疫密度保持在90%以上，免疫抗体合格率在70%以上，筑牢免疫保护屏障。</t>
  </si>
  <si>
    <t>（六）产业链延伸及基础设施配套</t>
  </si>
  <si>
    <t>yc2025078</t>
  </si>
  <si>
    <t>叶城县吐古其乡16村核桃加工厂扩建项目</t>
  </si>
  <si>
    <t>产业园（区）</t>
  </si>
  <si>
    <t>吐古其乡16村</t>
  </si>
  <si>
    <t>项目总投资：240万元。
建设内容：硬化核桃晾晒场地9324平方米，配套水电等附属设施。</t>
  </si>
  <si>
    <t>经济效益：预计增加租金3-5万元，增加带动就业15人，临时就业人员50人以上，人均月工资1800元以上。
社会效益：促进当地核桃产业发展，完善核桃卫星工厂基础设施配套，不断提升核桃质量，增加群众收益。</t>
  </si>
  <si>
    <t>目前由本村种植大户运营管护，租金1万元，就业人员20人，项目建成后，场地扩建后，可增加就业人数，提升核桃产品周转率，并辅助加工核桃仁等初级产品。</t>
  </si>
  <si>
    <t>yc2025079</t>
  </si>
  <si>
    <t>叶城县2025年金果镇10村产业园建设项目</t>
  </si>
  <si>
    <t>项目总投资2980万元
建设内容：新建6666.7㎡小微产业园及附属配套，占地面积10亩。</t>
  </si>
  <si>
    <t>经济效益：预计带动200人进行社区团购和物流运输，人均工资不低于3000元，预计每年租金50万元。
社会效益：带实现产业链延链补链，增加附加值，稳定原材料市场价格，保障群众增收。</t>
  </si>
  <si>
    <t>通过招商引资引入果留香生态园企业入驻，建立农产品精深加工和运输体系，增加销售终端，预计带动200人进行社区团购和物流运输，预计每年租金50万元。
实现产业链延链补链，增加附加值，稳定原材料市场价格，保障群众增收。</t>
  </si>
  <si>
    <t>商工局</t>
  </si>
  <si>
    <t>周贤张</t>
  </si>
  <si>
    <t>yc2025080</t>
  </si>
  <si>
    <t>叶城县2025年金果镇创业产业孵化园二期建设项目</t>
  </si>
  <si>
    <t>产地初加工和精深加工</t>
  </si>
  <si>
    <t>项目投资800万元
建设内容：新建2000平方特色产品加工车间及相关配套设施。</t>
  </si>
  <si>
    <t>经济效益：租金20万元，带动创业就业人数50人，人均工资不低于3000元。
社会效益：培育区域型品牌嵌入内地市场，以一年为一个周期进行产品测试，预计两年内可培育出一个地方区域品牌，后期进行扶持，抢占市场份额。</t>
  </si>
  <si>
    <t>统战部、商工局</t>
  </si>
  <si>
    <t>王灏峰、周贤张</t>
  </si>
  <si>
    <t>yc2025081</t>
  </si>
  <si>
    <t>叶城县2025年阿克塔什镇特色鲜果保鲜库建设项目</t>
  </si>
  <si>
    <t>农产品仓储保鲜冷链基础设施建设</t>
  </si>
  <si>
    <t>阿克塔什镇</t>
  </si>
  <si>
    <t>项目总投资960万元
建设内容：对阿克塔什镇特色鲜果基地建设1栋（12间）1000平方米空间电场保鲜库及附属配套设施。</t>
  </si>
  <si>
    <t>经济效益：租金预计为32万元/年，预计带动稳定就业30人，季节性就业200人，人均工资不低于2000元。
社会效益：通过新建标准化保鲜库及空间电场保鲜库，将直接提升特色鲜果的保鲜效果与储存能力，有效缩短果品从产地到市场的距离，降低损耗，保障果品新鲜度与质量。</t>
  </si>
  <si>
    <t>项目建成后资产移交至阿克塔什镇农场，经营主体为阿克塔什镇农场。2000平方米标准化保鲜库和1000平方米高标准空间电场保鲜库年租金预计为32万元/年，预计带动稳定就业30人，季节性就业200人。
此项目不仅能满足当地特色鲜果产业的快速发展需求，还能促进农民增收，推动农业经济转型升级，提升地区特色农产品的市场竞争力，实现经济效益与社会效益的双赢。</t>
  </si>
  <si>
    <t>yc2025082</t>
  </si>
  <si>
    <t>叶城县2025年夏合甫乡产业就业园区三期项目</t>
  </si>
  <si>
    <t>夏合甫乡3村</t>
  </si>
  <si>
    <t>项目总投资2000万元
建设内容：建设厂房10000㎡及泵房、消防水池等配套附属设施，总占地面积35亩。</t>
  </si>
  <si>
    <t>经济效益：厂房租金36万元，分红受益户数预计达300户，管理人员35名，月工资4000元-5000元，技术人员28名，月工资8000元-12000元，普通员工200余名，月工资3000元左右。
社会效益：带动当地经济发展，促进群众就业增收致富，搞活市场经济，改善农村经济体制，企业带动当地农业、文化、经济等快速发展。</t>
  </si>
  <si>
    <t>引入现代化大型建筑模板与木方制造企业新疆瑞升建材科技有限公司入驻，每年缴纳厂房租金36万元，分红受益户数预计达300户。2024年3月投产运行。该公司在产业就业基地总投资2000余万元，投入使用生产线10条，日产模板6000张，用工近300人，人均月工资3600余元。管理人员35名，月工资4000元-5000元，技术人员28名，月工资8000元-12000元，普通员工200余名，月工资3000元左右。</t>
  </si>
  <si>
    <t>yc2025083</t>
  </si>
  <si>
    <t>叶城县2025年夏合甫乡欧松板厂房建设项目</t>
  </si>
  <si>
    <t>项目总投资2900万元
建设内容：建设欧松板制造厂房16000㎡及泵房、消防水池等配套附属设施，总占地面积85亩。</t>
  </si>
  <si>
    <t>经济效益：厂房租金40万元，分红受益户数预计达300户，管理人员35名，月工资4000元-5000元，技术人员28名，月工资8000元-12000元，普通员工200余名，月工资3000元左右。
社会效益：带动当地经济发展，促进群众就业增收致富，搞活市场经济，改善农村经济体制，企业带动当地农业、文化、经济等快速发展。</t>
  </si>
  <si>
    <t>引入现代化大型建筑模板与木方制造企业新疆瑞升建材科技有限公司入驻，每年缴纳厂房租金36万元，分红受益户数预计达300户。2024年3月投产运行。该公司在产业就业基地总投资2000余万元，投入使用生产线10条，日产模板6000张。</t>
  </si>
  <si>
    <t>yc2025084</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</si>
  <si>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</si>
  <si>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</si>
  <si>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</si>
  <si>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经济效益：带动增加巩固脱贫户全年总收入（≥100万元），带动脱贫户和边缘易致贫户人数（≥90人）。
社会效益：对脱贫攻坚和巩固脱贫成果方面有了一定的基础，改善营商环境，提升村容村貌，能更好的促进乡村振兴事业的发展。</t>
  </si>
  <si>
    <t>经营主体：农贸市场建成后由12村负责管理运营，将商铺以及摊位租赁给个体商户。
连农带农机制：项目建成后，提升乌吉热克乡消费环境以及购物体验，提高当地居民生活质量。带动增加巩固脱贫户全年总收入（≥100万元）；带动脱贫户和边缘易致贫户人数（≥90人）</t>
  </si>
  <si>
    <t>yc2025085</t>
  </si>
  <si>
    <t>叶城县2025年乌吉热克乡16村樱桃园设施配套项目</t>
  </si>
  <si>
    <t>乌吉热克乡16村</t>
  </si>
  <si>
    <t>项目总投资295万元    
建设内容：为200亩樱桃园安装新型防雨、防冻棚并配套相关附属设施，1.475万元/亩。</t>
  </si>
  <si>
    <t>经济效益：预计可带动85人就业，人均工资不低于2000元，年租金12万元。
社会效益：完善樱桃产业基础设施，促进樱桃产业发展，通过鲜食、采摘等方式，发展乡村休闲旅游，促进和美乡村健康绿色发展。</t>
  </si>
  <si>
    <t>目前现有樱桃园由当地种植大户承包运营管护，项目建成后，项目区年产量可稳定达到每亩400公斤，总产量约80吨，产值150余万元。增加了对项目所在地劳动力的需求，预计带动就业85人，人均增收6500元。年租金增收12万元。</t>
  </si>
  <si>
    <t>yc2025086</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</si>
  <si>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</si>
  <si>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</si>
  <si>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</si>
  <si>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经济效益：租金6万元，带动就业20人左右，人均工资不低于2000元。
社会效益：促进红薯产业发展，提高群众种植红薯的积极性，增加群众就业收入。</t>
  </si>
  <si>
    <t>由喀什良耕绿色农业科技有限公司运营，带动就业20人左右，实现村集体经济收入6万元以上。。
社会效益：开辟红薯深加工产业升级，利用现有资源进行升级改造，加工红薯1000吨，提高群众就业收入，拓宽群众农产品销售渠道。</t>
  </si>
  <si>
    <t>yc2025087</t>
  </si>
  <si>
    <t>叶城县2025年伯西热克镇养殖小区建设及配套项目</t>
  </si>
  <si>
    <t>伯西热克镇11村</t>
  </si>
  <si>
    <t>项目总投资350万元
建设内容：修建棚圈2座1200㎡，饲料间1座300㎡，及其他附属配套设施。</t>
  </si>
  <si>
    <t>经济效益：实现村集体经济收入6万元以上，租金4万元，带动就业20人左右。
社会效益：促进畜牧产业发展，提高群众就业收入。</t>
  </si>
  <si>
    <t>经营主体：叶城县七迈传媒有限公司，养殖小区建设项目占地约13亩，养殖小区的建设对11村畜牧产业发展和群众增收有极大的促进作用。</t>
  </si>
  <si>
    <t>yc2025088</t>
  </si>
  <si>
    <t>叶城县2025年依力克其乡保鲜冷藏库建设项目</t>
  </si>
  <si>
    <t>依力克其乡13村</t>
  </si>
  <si>
    <t>项目总投资240万元
建设内容：新建墙体冻库2座及其提升改造，每座100㎡，配备电动叉车2台、地磅1台及其附属设施配套。</t>
  </si>
  <si>
    <t>经济效益：带动了周边村庄1000多人就业创业，村民户均种植西梅在14亩以上，创收2000万元，户均年收入10万元以上，最多的可达70万元。
社会效益：项目实施后可对西梅产值提升有较大帮助，可进行反季节销售、长期存储，提升价格，促进了农业提质增效和农民增收。</t>
  </si>
  <si>
    <t>由广州佳果源进出口贸易有限公司承包经营。
项目实施后可对西梅产值提升有较大帮助，可进行反季节销售、长期存储，提升价格。同时每年都能为村民带来可观的经济收入，村民户均种植西梅在14亩以上，创收2000万元，户均年收入10万元以上，最多的可达70万元。同时，西梅产业的发展还带动了周边村庄1000多人就业创业，促进了农业提质增效和农民增收。</t>
  </si>
  <si>
    <t>yc2025089</t>
  </si>
  <si>
    <t>叶城县2025年宗朗乡产业园区基础配套及改造提升建设项目</t>
  </si>
  <si>
    <t>宗朗乡3村</t>
  </si>
  <si>
    <t>项目总投资395万元
建设内容：在宗朗乡产业园区新建彩钢棚2座、3000平方米及水电提升改造等配套附属设施。</t>
  </si>
  <si>
    <t>经济效益：带动稳定就业50人以上，季节性务工300人以上，人均工资不低于2000元/月。
社会效益：通过玉米深加工，吸收当地农户就业，增加农户收入；通过“企业+村委会+农户”模式，增加集体经济收入，打响宗朗特色玉米品牌。</t>
  </si>
  <si>
    <t>经营主体为叶城县宗朗乡招商引资企业——新疆九麟农业发展有限公司，直接带动稳定就业50人以上，季节性务工300人以上，强力推进乡村特色产业转型升级，确保产业增效、农民增收。
通过玉米深加工，吸收当地农户就业，增加农户收入；通过“企业+村委会+农户”模式，增加集体经济收入，打响宗朗特色玉米品牌。</t>
  </si>
  <si>
    <t>yc2025090</t>
  </si>
  <si>
    <t>叶城县2025年宗朗乡产业园区鲜食玉米加工设备采购项目</t>
  </si>
  <si>
    <t>项目总投资395万元
建设内容：采购一批气吹剥皮机、挑选输送机、自动滚杠清洗机、龙门提升漂烫机、玉米自动杀菌锅、翻转除水机等鲜食玉米加工设备。</t>
  </si>
  <si>
    <t>经营主体为叶城县宗朗乡招商引资企业——新疆九麟农业发展有限公司，直接带动稳定就业50人以上，季节性务工300人以上，强力推进乡村特色产业转型升级，确通过玉米深加工，吸收当地农户就业，增加农户收入；通过“企业+村委会+农户”模式，增加集体经济收入，打响宗朗特色玉米品牌。</t>
  </si>
  <si>
    <t>yc2025091</t>
  </si>
  <si>
    <t>叶城县2025年洛克乡蓄水池建设项目</t>
  </si>
  <si>
    <t>项目投资630万元
建设内容：新建占地60亩蓄水池、沉砂池项目及附属设施配套，约10000立方米，覆盖全乡3000亩地用水问题，同时也可发展渔业养殖。</t>
  </si>
  <si>
    <t>社会效益：通过项目建设，解决农业灌溉用水问题。</t>
  </si>
  <si>
    <t>统战部</t>
  </si>
  <si>
    <t>王灏峰</t>
  </si>
  <si>
    <t>yc2025092</t>
  </si>
  <si>
    <t>叶城县2025年巴仁乡10村沉砂池建设项目</t>
  </si>
  <si>
    <t>巴仁乡10村</t>
  </si>
  <si>
    <t>项目投资：120万元
建设内容：建设沉砂池1座2000立方米，占地4亩，配套其他附属设施。</t>
  </si>
  <si>
    <t>yc2025093</t>
  </si>
  <si>
    <t>叶城县2025年洛克乡1村沉砂池建设项目</t>
  </si>
  <si>
    <t>项目总投资980万元
建设内容：在洛克乡1村建设约600亩的沉砂池，配套附属设施设备等。</t>
  </si>
  <si>
    <t>yc2025094</t>
  </si>
  <si>
    <t>叶城县2025年伯西热克镇15村休闲农业与乡村旅游项目</t>
  </si>
  <si>
    <t>休闲农业与乡村旅游</t>
  </si>
  <si>
    <t>项目投资：800万元
建设内容：伯西热克镇15村新建商铺4000平方米。</t>
  </si>
  <si>
    <t>经济效益：带动就业≥188人，人均月工资≥3000元，租金收益400万元。
社会效益：旅游是现代人类社会发展的产物，随着人们对生活的要求不断提高，旅游已逐渐成为一种重要的休闲娱乐方式，该项目的实施不但保护生态环境，还将生态与人文很好的结合，打造休闲娱乐度假为一体的基地。发展旅游业不仅可以带动当地的经济增长，还能促进就业机会的增加，改善当地居民的生活水平，旅游业的发展会吸引大量游客前来消费。</t>
  </si>
  <si>
    <t>由叶城县石榴风情园旅游开发有限公司运营，2024年营业收入400万元，长期用工68人，季节性用工120人。</t>
  </si>
  <si>
    <t>文旅局</t>
  </si>
  <si>
    <t>杨小王</t>
  </si>
  <si>
    <t>yc2025095</t>
  </si>
  <si>
    <t>叶城县2025年江格勒斯乡乡村旅游建设项目</t>
  </si>
  <si>
    <t>项目总投资850万元
建设内容：打造乡村旅游基地，发展水产养殖170亩，新建砂砾石道路1.54公里、新建木桥两座、地坪硬化4000平方米等其他配套附属设施。</t>
  </si>
  <si>
    <t>经济效益：带动就业≥20人，人均月工资≥3000元，租金收益10万元。
社会效益：发展旅游业可以带动当地的经济增长，建成后，引进企业进行科学化、合理化运营，从企业角度实现利益最大化发展特色旅游，引进乡周边特色小吃入驻，形成小吃一条街，增加相关娱乐设施保障人员，引导就业困难人员进行就近就业，增加村集体收入，改善当地居民的生活水平，旅游业的发展会吸引大量游客前来消费。</t>
  </si>
  <si>
    <t>由新疆西航文旅发展有限公司运营，租金收益10万元，增加村集体收入，改善当地居民的生活水平，旅游业的发展会吸引大量游客前来消费。</t>
  </si>
  <si>
    <t>yc2025096</t>
  </si>
  <si>
    <t>叶城县2025年洛克乡1村水利设施配套提升项目</t>
  </si>
  <si>
    <r>
      <rPr>
        <sz val="16"/>
        <rFont val="仿宋"/>
        <charset val="134"/>
      </rPr>
      <t>项目总投资1700万元
建设内容：铺设矩型渠约21公里，流量0.2-1m</t>
    </r>
    <r>
      <rPr>
        <sz val="16"/>
        <rFont val="宋体"/>
        <charset val="134"/>
      </rPr>
      <t>³</t>
    </r>
    <r>
      <rPr>
        <sz val="16"/>
        <rFont val="仿宋"/>
        <charset val="134"/>
      </rPr>
      <t>/秒，配套渠系建筑物等。</t>
    </r>
  </si>
  <si>
    <t>公里</t>
  </si>
  <si>
    <t>社会效益：通过项目建设，解决养殖小区畜禽引水及饲草料种植、林带浇水等问题。</t>
  </si>
  <si>
    <t>yc2025097</t>
  </si>
  <si>
    <t>叶城县2025年巴仁乡种植业基地配套建设项目</t>
  </si>
  <si>
    <r>
      <rPr>
        <sz val="16"/>
        <rFont val="仿宋"/>
        <charset val="134"/>
      </rPr>
      <t>项目总投资300万元
建设内容：建设0.2m</t>
    </r>
    <r>
      <rPr>
        <sz val="16"/>
        <rFont val="宋体"/>
        <charset val="134"/>
      </rPr>
      <t>³</t>
    </r>
    <r>
      <rPr>
        <sz val="16"/>
        <rFont val="仿宋"/>
        <charset val="134"/>
      </rPr>
      <t>/s-0.8m</t>
    </r>
    <r>
      <rPr>
        <sz val="16"/>
        <rFont val="宋体"/>
        <charset val="134"/>
      </rPr>
      <t>³</t>
    </r>
    <r>
      <rPr>
        <sz val="16"/>
        <rFont val="仿宋"/>
        <charset val="134"/>
      </rPr>
      <t>/s防渗渠4公里，并建设水闸，农桥等附属设施。</t>
    </r>
  </si>
  <si>
    <t>经济效益：带动临时就业≥45人，人均月工资≥3000元，带动灌溉农田每亩增收≥50元。
社会效益：改善灌溉面积≥4500亩，新建渠道长度4公里，灌溉保证率75%。提高水资源利用率和保证率，全面提升灌溉水平，降低运行成本，节约水资源，改善农业用水条件，提高水利工程综合效益。</t>
  </si>
  <si>
    <t>yc2025098</t>
  </si>
  <si>
    <t>叶城县2025年白杨镇种植业基地配套建设项目</t>
  </si>
  <si>
    <r>
      <rPr>
        <sz val="16"/>
        <rFont val="仿宋"/>
        <charset val="134"/>
      </rPr>
      <t>项目总投资2130万元
建设内容：新建0.2-0.8m</t>
    </r>
    <r>
      <rPr>
        <sz val="16"/>
        <rFont val="宋体"/>
        <charset val="134"/>
      </rPr>
      <t>³</t>
    </r>
    <r>
      <rPr>
        <sz val="16"/>
        <rFont val="仿宋"/>
        <charset val="134"/>
      </rPr>
      <t>/s防渗渠28.4公里及配套，75万元/公里。</t>
    </r>
  </si>
  <si>
    <t>经济效益：带动临时就业≥100人，人均月工资≥3000元，带动灌溉农田每亩增收≥50元。
社会效益：改善灌溉面积≥5000亩，新建渠道长度13.6公里，灌溉保证率75%。提高水资源利用率和保证率，全面提升灌溉水平，降低运行成本，节约水资源，改善农业用水条件，提高水利工程综合效益。</t>
  </si>
  <si>
    <t>yc2025099</t>
  </si>
  <si>
    <t>叶城县2025年伯西热克镇种植业基地配套建设项目</t>
  </si>
  <si>
    <t>项目总投资1200万元
建设内容：新建0.2-0.8m³/s防渗渠16公里及配套，75万元/公里。</t>
  </si>
  <si>
    <t>经济效益：带动临时就业≥120人，人均月工资≥3000元，带动灌溉农田每亩增收≥50元。
社会效益：改善灌溉面积≥12000亩，新建渠道长度16公里，灌溉保证率75%。提高水资源利用率和保证率，全面提升灌溉水平，降低运行成本，节约水资源，改善农业用水条件，提高水利工程综合效益。</t>
  </si>
  <si>
    <t>yc2025100</t>
  </si>
  <si>
    <t>叶城县2025年河园镇种植业基地配套建设项目</t>
  </si>
  <si>
    <r>
      <rPr>
        <sz val="16"/>
        <rFont val="仿宋"/>
        <charset val="134"/>
      </rPr>
      <t>项目总投资1275万元
建设内容：新建0.2-0.8m</t>
    </r>
    <r>
      <rPr>
        <sz val="16"/>
        <rFont val="宋体"/>
        <charset val="134"/>
      </rPr>
      <t>³</t>
    </r>
    <r>
      <rPr>
        <sz val="16"/>
        <rFont val="仿宋"/>
        <charset val="134"/>
      </rPr>
      <t>/s防渗渠17公里及配套，75万元/公里。</t>
    </r>
  </si>
  <si>
    <t>经济效益：带动临时就业≥50人，人均月工资≥3000元，带动灌溉农田每亩增收≥50元。
社会效益：改善灌溉面积≥7000亩，新建渠道长度7公里，灌溉保证率75%。提高水资源利用率和保证率，全面提升灌溉水平，降低运行成本，节约水资源，改善农业用水条件，提高水利工程综合效益。</t>
  </si>
  <si>
    <t>yc2025101</t>
  </si>
  <si>
    <t>叶城县2025年江格勒斯乡种植业基地配套建设项目</t>
  </si>
  <si>
    <r>
      <rPr>
        <sz val="16"/>
        <rFont val="仿宋"/>
        <charset val="134"/>
      </rPr>
      <t>项目总投资907.5万元
建设内容：新建0.2-0.8m</t>
    </r>
    <r>
      <rPr>
        <sz val="16"/>
        <rFont val="宋体"/>
        <charset val="134"/>
      </rPr>
      <t>³</t>
    </r>
    <r>
      <rPr>
        <sz val="16"/>
        <rFont val="仿宋"/>
        <charset val="134"/>
      </rPr>
      <t>/s防渗渠12.1公里及配套，75万元/公里。</t>
    </r>
  </si>
  <si>
    <t>经济效益：带动临时就业≥100人，人均月工资≥3000元，带动灌溉农田每亩增收≥50元。
社会效益：改善灌溉面积≥12000亩，新建渠道长度13.7公里，灌溉保证率75%。提高水资源利用率和保证率，全面提升灌溉水平，降低运行成本，节约水资源，改善农业用水条件，提高水利工程综合效益。</t>
  </si>
  <si>
    <t>yc2025102</t>
  </si>
  <si>
    <t>叶城县2025年洛克乡种植业基地配套建设项目</t>
  </si>
  <si>
    <t>项目总投资412.5万元
建设内容：新建0.2-0.8/S流量的防渗渠5.5公里及其配套附属(水闸、涵洞、农桥、跌水等），75万元/公里。</t>
  </si>
  <si>
    <t>经济效益：带动临时就业≥30人，人均月工资≥3000元，带动灌溉农田每亩增收≥50元。
社会效益：改善灌溉面积≥22000亩，新建渠道长度5公里，灌溉保证率75%。提高水资源利用率和保证率，全面提升灌溉水平，降低运行成本，节约水资源，改善农业用水条件，提高水利工程综合效益。</t>
  </si>
  <si>
    <t>yc2025103</t>
  </si>
  <si>
    <t>叶城县2025年棋盘乡种植业基地配套建设项目</t>
  </si>
  <si>
    <t>棋盘乡</t>
  </si>
  <si>
    <t>项目总投资1095万元
建设内容：新建0.2-0.8m³/s防渗渠14.6公里及配套，75万元/公里。</t>
  </si>
  <si>
    <t>经济效益：带动临时就业≥100人，人均月工资≥3000元，带动灌溉农田每亩增收≥50元。
社会效益：改善灌溉面积≥11000亩，新建渠道长度14.6公里，灌溉保证率75%。提高水资源利用率和保证率，全面提升灌溉水平，降低运行成本，节约水资源，改善农业用水条件，提高水利工程综合效益。</t>
  </si>
  <si>
    <t>yc2025104</t>
  </si>
  <si>
    <t>叶城县2025年恰尔巴格镇种植业基地配套建设项目</t>
  </si>
  <si>
    <t>项目总投资802.5万元
建设内容：新建0.2-0.8m³/s防渗渠10.7公里及配套，75万元/公里。</t>
  </si>
  <si>
    <t>经济效益：带动临时就业≥70人，人均月工资≥3000元，带动灌溉农田每亩增收≥50元。
社会效益：改善灌溉面积≥8000亩，新建渠道长度10.7公里，灌溉保证率75%。提高水资源利用率和保证率，全面提升灌溉水平，降低运行成本，节约水资源，改善农业用水条件，提高水利工程综合效益。</t>
  </si>
  <si>
    <t>yc2025105</t>
  </si>
  <si>
    <t>叶城县2025年铁提乡种植业基地配套建设项目</t>
  </si>
  <si>
    <t>项目总投资1500万元
建设内容：新建0.2-0.8m³/s防渗渠20公里及配套，75万元/公里。</t>
  </si>
  <si>
    <t>经济效益：带动临时就业≥150人，人均月工资≥3000元，带动灌溉农田每亩增收≥50元。
社会效益：改善灌溉面积≥15000亩，新建渠道长度20公里，灌溉保证率75%。提高水资源利用率和保证率，全面提升灌溉水平，降低运行成本，节约水资源，改善农业用水条件，提高水利工程综合效益。</t>
  </si>
  <si>
    <t>yc2025106</t>
  </si>
  <si>
    <t>叶城县2025年吐古其乡种植业基地配套建设项目</t>
  </si>
  <si>
    <t>经济效益：带动临时就业≥150人，人均月工资≥3000元，带动灌溉农田每亩增收≥50元。
社会效益：改善灌溉面积≥22000亩，新建渠道长度20公里，灌溉保证率75%。提高水资源利用率和保证率，全面提升灌溉水平，降低运行成本，节约水资源，改善农业用水条件，提高水利工程综合效益。</t>
  </si>
  <si>
    <t>yc2025107</t>
  </si>
  <si>
    <t>叶城县2025年乌吉热克乡种植业基地配套建设项目</t>
  </si>
  <si>
    <r>
      <rPr>
        <sz val="16"/>
        <rFont val="仿宋"/>
        <charset val="134"/>
      </rPr>
      <t>项目总投资1841.25万元
建设内容：新建0.2-0.8m</t>
    </r>
    <r>
      <rPr>
        <sz val="16"/>
        <rFont val="宋体"/>
        <charset val="134"/>
      </rPr>
      <t>³</t>
    </r>
    <r>
      <rPr>
        <sz val="16"/>
        <rFont val="仿宋"/>
        <charset val="134"/>
      </rPr>
      <t>/s防渗渠24.55公里及配套，75万元/公里。</t>
    </r>
  </si>
  <si>
    <t>经济效益：带动临时就业≥170人，人均月工资≥3000元，带动灌溉农田每亩增收≥50元。
社会效益：改善灌溉面积≥17000亩，新建渠道长度23.1公里，灌溉保证率75%。提高水资源利用率和保证率，全面提升灌溉水平，降低运行成本，节约水资源，改善农业用水条件，提高水利工程综合效益。</t>
  </si>
  <si>
    <t>yc2025108</t>
  </si>
  <si>
    <t>叶城县2025年乌夏巴什镇种植业基地配套建设项目</t>
  </si>
  <si>
    <t>乌夏巴什镇</t>
  </si>
  <si>
    <t>项目总投资540万元
建设内容：新建0.2-0.8m³/s防渗渠7.2公里及配套，75万元/公里。</t>
  </si>
  <si>
    <t>经济效益：带动临时就业≥50人，人均月工资≥3000元，带动灌溉农田每亩增收≥50元。
社会效益：改善灌溉面积≥5400亩，新建渠道长度7.2公里，灌溉保证率75%。提高水资源利用率和保证率，全面提升灌溉水平，降低运行成本，节约水资源，改善农业用水条件，提高水利工程综合效益。</t>
  </si>
  <si>
    <t>yc2025109</t>
  </si>
  <si>
    <t>叶城县2025年夏合甫乡种植业基地配套建设项目</t>
  </si>
  <si>
    <t>yc2025110</t>
  </si>
  <si>
    <t>叶城县2025年依力克其乡种植业基地配套建设项目</t>
  </si>
  <si>
    <r>
      <rPr>
        <sz val="16"/>
        <rFont val="仿宋"/>
        <charset val="134"/>
      </rPr>
      <t>项目总投资1125万元
建设内容：新建0.2-0.8m</t>
    </r>
    <r>
      <rPr>
        <sz val="16"/>
        <rFont val="宋体"/>
        <charset val="134"/>
      </rPr>
      <t>³</t>
    </r>
    <r>
      <rPr>
        <sz val="16"/>
        <rFont val="仿宋"/>
        <charset val="134"/>
      </rPr>
      <t>/s防渗渠15公里及配套，75万元/公里。</t>
    </r>
  </si>
  <si>
    <t>经济效益：带动临时就业≥52人，人均月工资≥3000元，带动灌溉农田每亩增收≥50元。
社会效益：改善灌溉面积≥5600亩，新建渠道长度7.5公里，灌溉保证率75%。提高水资源利用率和保证率，全面提升灌溉水平，降低运行成本，节约水资源，改善农业用水条件，提高水利工程综合效益。</t>
  </si>
  <si>
    <t>yc2025111</t>
  </si>
  <si>
    <t>叶城县2025年依提木孔镇种植业基地配套建设项目</t>
  </si>
  <si>
    <t>yc2025112</t>
  </si>
  <si>
    <t>叶城县2025年宗朗乡种植业基地配套建设项目</t>
  </si>
  <si>
    <t>项目总投资840万元
建设内容：新建0.2-0.8m³/s防渗渠11.2公里及配套，75万元/公里。</t>
  </si>
  <si>
    <t>经济效益：带动临时就业≥80人，人均月工资≥3000元，带动灌溉农田每亩增收≥50元。
社会效益：改善灌溉面积≥8000亩，新建渠道长度11.2公里，灌溉保证率75%。提高水资源利用率和保证率，全面提升灌溉水平，降低运行成本，节约水资源，改善农业用水条件，提高水利工程综合效益。</t>
  </si>
  <si>
    <t>yc2025113</t>
  </si>
  <si>
    <t>叶城县2025年恰其库木管理区种植业基地配套建设项目</t>
  </si>
  <si>
    <t>项目总投资750万元
建设内容：新建0.2-0.8m³/s防渗渠10公里及配套，75万元/公里。</t>
  </si>
  <si>
    <t>经济效益：带动临时就业≥70人，人均月工资≥3000元，带动灌溉农田每亩增收≥50元。
社会效益：改善灌溉面积≥7000亩，新建渠道长度10公里，灌溉保证率75%。提高水资源利用率和保证率，全面提升灌溉水平，降低运行成本，节约水资源，改善农业用水条件，提高水利工程综合效益。</t>
  </si>
  <si>
    <t>二</t>
  </si>
  <si>
    <t>就业增收项目</t>
  </si>
  <si>
    <t>yc2025114</t>
  </si>
  <si>
    <t>叶城县2025年农村道路管护人员补助</t>
  </si>
  <si>
    <t>就业项目</t>
  </si>
  <si>
    <t>生产奖补、劳务补助等</t>
  </si>
  <si>
    <t>项目总投资1894.8万元
建设内容：农村道路日常养护补助资金项目，为1579个护路员发放补贴。</t>
  </si>
  <si>
    <t>经济指标：解决各乡镇就业岗位≥1579个，带动增加脱贫户（含监测户）全年总收入≥1894.8万元。
社会效益：加强和规范各村严格按照农村公路养护与管理开展日常工作，不断加大农村公路的养护管理力度，促进构建农村公路管养网络。涉及人数1579人，涉及资金小于等于1894.8万元。</t>
  </si>
  <si>
    <t>交通局</t>
  </si>
  <si>
    <t>王智斌</t>
  </si>
  <si>
    <t>yc2025115</t>
  </si>
  <si>
    <t>叶城县2025年临时性公益岗位补助项目</t>
  </si>
  <si>
    <t>公益性岗位</t>
  </si>
  <si>
    <t>项目总投资1276.8万元
建设内容：为608个临时性公益岗位进行补助，1750元/人/月。每个公益岗位就业人员就业时间不得超过6个月，参与就业人数不低于1216人。</t>
  </si>
  <si>
    <t>人</t>
  </si>
  <si>
    <t>经济效益：增加1216人增收1276.8万元
社会效益：促进稳定就业，推动社会服务，增强社会凝聚力，群众满意度≥95%。</t>
  </si>
  <si>
    <t>人社局</t>
  </si>
  <si>
    <t>刘立魁</t>
  </si>
  <si>
    <t>yc2025116</t>
  </si>
  <si>
    <t>叶城县2025年跨省就业一次性交通补助</t>
  </si>
  <si>
    <t>交通费补助</t>
  </si>
  <si>
    <r>
      <rPr>
        <sz val="16"/>
        <rFont val="仿宋"/>
        <charset val="134"/>
      </rPr>
      <t>项目总投资450万元
建设内容：跨省就业2250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t>
    </r>
    <r>
      <rPr>
        <sz val="16"/>
        <color rgb="FFFF0000"/>
        <rFont val="仿宋"/>
        <charset val="134"/>
      </rPr>
      <t>铁提乡136人</t>
    </r>
    <r>
      <rPr>
        <sz val="16"/>
        <rFont val="仿宋"/>
        <charset val="134"/>
      </rPr>
      <t>、依提木孔镇147人、洛克乡309人。</t>
    </r>
  </si>
  <si>
    <t>经济效益：降低务工人员成本2000元以下
社会效益：促进稳定就业，带动消费增长，促进劳动力流动，推动城乡一体化发展，增强社会凝聚力，群众满意度≥95%。</t>
  </si>
  <si>
    <t>yc2025117</t>
  </si>
  <si>
    <t>叶城县2025年疆内跨地州市（含兵团）就业一次性交通补助</t>
  </si>
  <si>
    <t>项目总投资1503.3万元
建设内容：疆内跨地州市（含兵团）就业15033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</si>
  <si>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经济效益：降低务工人员成本1000元以下
社会效益：促进稳定就业，带动消费增长，促进劳动力流动，推动城乡一体化发展，增强社会凝聚力，群众满意度≥95%。</t>
  </si>
  <si>
    <t>yc2025118</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</si>
  <si>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</si>
  <si>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</si>
  <si>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经济效益：降低务工人员成本200元以下
社会效益：促进稳定就业，带动消费增长，促进劳动力流动，推动城乡一体化发展，增强社会凝聚力，群众满意度≥95%。</t>
  </si>
  <si>
    <t>yc2025119</t>
  </si>
  <si>
    <t>叶城县2025年自主创业（20㎡以上）补助项目</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</si>
  <si>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</si>
  <si>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</si>
  <si>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经济效益：降低务工人员成本2000元
社会效益：促进稳定就业，带动消费增长，促进劳动力流动，推动城乡一体化发展，增强社会凝聚力，群众满意度≥95%。</t>
  </si>
  <si>
    <t>yc2025120</t>
  </si>
  <si>
    <t>叶城县2025年自主创业（20㎡以下）补助项目</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</si>
  <si>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</si>
  <si>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经济效益：降低务工人员成本1000元
社会效益：促进稳定就业，带动消费增长，促进劳动力流动，推动城乡一体化发展，增强社会凝聚力，群众满意度≥95%。</t>
  </si>
  <si>
    <t>三</t>
  </si>
  <si>
    <t>乡村建设行动</t>
  </si>
  <si>
    <t>（一）农村人居环境整治</t>
  </si>
  <si>
    <t>yc2025121</t>
  </si>
  <si>
    <t>叶城县2025年乌吉热克乡道路建设项目</t>
  </si>
  <si>
    <t>农村道路建设（通村路、通户路、小型桥梁等）</t>
  </si>
  <si>
    <t>乌吉热克乡17村、18村</t>
  </si>
  <si>
    <t>项目总投资：342万元   
建设内容：乌吉热克乡17村道路拓宽硬化14000平方米并配套相关附属设施，18村路面硬化5700平方米。</t>
  </si>
  <si>
    <t>社会效益：该项目计划资金102万元，道路硬化5700平方米，达成降低运输成本、促进产业发展、增加农民收入等经济效益；达成改善出行条件、提升农村形象、推送乡村振兴等社会效益。</t>
  </si>
  <si>
    <t>yc2025122</t>
  </si>
  <si>
    <t>叶城县2025年洛克乡道路建设项目</t>
  </si>
  <si>
    <t>洛克乡10村、12村</t>
  </si>
  <si>
    <t>项目总投资395万元
建设内容：新建宽3.5米、长5.5公里的硬化路及其配套附属。</t>
  </si>
  <si>
    <t>社会效益：该项目计划资金80万元，道路硬化5.5公里及附属配套，达成降低运输成本、促进产业发展、增加农民收入等经济效益；达成改善出行条件、提升农村形象、推送乡村振兴等社会效益。</t>
  </si>
  <si>
    <t>yc2025123</t>
  </si>
  <si>
    <t>叶城县2025年铁提乡道路建设项目</t>
  </si>
  <si>
    <t>铁提乡3村、8村、10村</t>
  </si>
  <si>
    <t>项目总投资360万元
建设内容:铁提乡3村和10村5.3公里道路进行硬化及其他附属设施，约60万元/公里；8村道路硬化拓展3976平方米。</t>
  </si>
  <si>
    <t>社会效益：改善村内人居环境，提升村容村貌，能更好的促进乡村振兴事业的发展改善当地交通现状，提升整体环境，提高当地居民生活质量。</t>
  </si>
  <si>
    <t>yc2025124</t>
  </si>
  <si>
    <t>叶城县2025年巴仁乡桥梁建设项目</t>
  </si>
  <si>
    <t>项目投资80万元
建设内容：新建6米*8米桥梁3座。</t>
  </si>
  <si>
    <t>社会效益：通过建设桥梁，改善群众人均环境，提高篇群众幸福感与环境卫生，方便群众生活。</t>
  </si>
  <si>
    <t>yc2025125</t>
  </si>
  <si>
    <t>叶城县2025年巴仁乡渠系配套建设项目</t>
  </si>
  <si>
    <t>巴仁乡7、8村</t>
  </si>
  <si>
    <t>项目投资387万元
建设内容：新建桥涵2座，其中50米*6米1座，66米*10米1座，并配套其他基础设施。</t>
  </si>
  <si>
    <t>yc2025126</t>
  </si>
  <si>
    <t>叶城县2025年乌吉热克乡18村农村污水治理项目</t>
  </si>
  <si>
    <t>农村污水治理</t>
  </si>
  <si>
    <t>项目总投资：560万元                                          
建设内容：新建8公里污水管网，配套检查井等附属设施。</t>
  </si>
  <si>
    <t>社会效益：改善人居环境，改善群众生活环境，增强群众幸福感，群众满意度≥95%</t>
  </si>
  <si>
    <t>住建局、农业农村局</t>
  </si>
  <si>
    <t>辜永亮、唐俊</t>
  </si>
  <si>
    <t>yc2025127</t>
  </si>
  <si>
    <t>叶城县2025年江格勒斯乡9村农村污水治理项目</t>
  </si>
  <si>
    <t>项目总投资1720万元
建设内容：新建污水管网7公里及灌溉管网4.6公里，及村容村貌改造与提升等。</t>
  </si>
  <si>
    <t>yc2025128</t>
  </si>
  <si>
    <t>叶城县2025年恰尔巴格镇中水集中灌溉建设项目</t>
  </si>
  <si>
    <t>恰尔巴格镇15村</t>
  </si>
  <si>
    <t>项目总投资390万元
建设内容：1.新增中水管道DE160PE管8公里以及配套设施设备；
2.单项顶管施工工艺；
3.灌溉（包含喷灌、滴灌）以及配套设施设备。</t>
  </si>
  <si>
    <t>yc2025129</t>
  </si>
  <si>
    <t>叶城县2025年恰尔巴格镇污水回收利用建设项目</t>
  </si>
  <si>
    <t>项目总投资390万元
建设内容：1.新建500m3钢筋混凝土蓄水池以及配套设施设备；
2.中水管网施工后路面恢复。</t>
  </si>
  <si>
    <t>立方米</t>
  </si>
  <si>
    <t>yc2025152</t>
  </si>
  <si>
    <t>叶城县2025年农村公共厕所建设项目</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</si>
  <si>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</si>
  <si>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</si>
  <si>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</si>
  <si>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社会效益：建设22座公共厕所，方便群众生活所需问题。</t>
  </si>
  <si>
    <t>（二）农村安全饮水工程</t>
  </si>
  <si>
    <t>yc2025153</t>
  </si>
  <si>
    <t>叶城县2025年金果镇9村农村供水保障工程</t>
  </si>
  <si>
    <t>农村供水保障设施建设</t>
  </si>
  <si>
    <t>改建</t>
  </si>
  <si>
    <t>金果镇9村</t>
  </si>
  <si>
    <t>项目总投资514万元
建设内容：更换及改造管道约21公里及配套各类附属建筑物。</t>
  </si>
  <si>
    <t>社会效益：日供水量为278.76m3/d，保障金果镇9村1957人的饮水安全</t>
  </si>
  <si>
    <t>水利局</t>
  </si>
  <si>
    <t>王平</t>
  </si>
  <si>
    <t>yc2025154</t>
  </si>
  <si>
    <t>叶城县2025年巴仁乡农村供水保障工程</t>
  </si>
  <si>
    <t>项目总投资1469.61万元
建设内容：更换及改造管道108公里，涉及农户入户3162户、入户水表井1410座、配套各类附属建筑物184座，拆除恢覆混凝土路面12公里，临时拆除木栅栏7公里，日供水量为1356.53m3/d。</t>
  </si>
  <si>
    <t>社会效益：日供水量为1356.53m3/d，保障巴仁乡10993人的饮水安全。</t>
  </si>
  <si>
    <t>（三）以工代赈</t>
  </si>
  <si>
    <t>yc2025155</t>
  </si>
  <si>
    <t>叶城县白杨镇21村农村水利基础设施建设项目2025年中央财政以工代赈项目</t>
  </si>
  <si>
    <t>白杨镇21村</t>
  </si>
  <si>
    <r>
      <rPr>
        <sz val="16"/>
        <rFont val="仿宋"/>
        <charset val="134"/>
      </rPr>
      <t>新建0.6-1m</t>
    </r>
    <r>
      <rPr>
        <sz val="16"/>
        <rFont val="宋体"/>
        <charset val="134"/>
      </rPr>
      <t>³</t>
    </r>
    <r>
      <rPr>
        <sz val="16"/>
        <rFont val="仿宋"/>
        <charset val="134"/>
      </rPr>
      <t>/s防渗渠5.6公里，配套渠系建筑物124座。</t>
    </r>
  </si>
  <si>
    <t>经济效益：预计给项目实施区域的群众解决就业岗位49人，发放劳务报酬119万元，人均增收2.42万元。
社会效益：提升项目实施区域的农村基础设施条件，助力乡村振兴建设。</t>
  </si>
  <si>
    <t>发改委</t>
  </si>
  <si>
    <t>叶人宾</t>
  </si>
  <si>
    <t>yc2025156</t>
  </si>
  <si>
    <t>叶城县吐古其乡道路提升改造建设2025年中央财政以工代赈项目</t>
  </si>
  <si>
    <t>道路拓宽13.5公里，硬化面积21000平方米及配套附属工程。</t>
  </si>
  <si>
    <t>经济效益：预计给项目实施区域的群众解决就业岗位75人，发放劳务报酬121万元，人均增收1.6万元。
社会效益：提升项目实施区域的农村基础设施条件，助力乡村振兴建设。</t>
  </si>
  <si>
    <t>yc2025157</t>
  </si>
  <si>
    <t>叶城县依力克其乡农村水利基础设施提升2025年中央财政以工代赈项目</t>
  </si>
  <si>
    <t>新建 0.2-0.8m3/s 防渗渠约 5.4公里及附属设施。本次建设5条渠道，配套渠系建筑物34座.</t>
  </si>
  <si>
    <t>经济效益：预计给项目实施区域的群众解决就业岗位50人，发放劳务报酬113万元，人均增收2.26万元。
社会效益：提升项目实施区域的农村基础设施条件，助力乡村振兴建设。</t>
  </si>
  <si>
    <t>yc2025158</t>
  </si>
  <si>
    <t>叶城县西合休乡尤隆4村河道修缮改造治理2025年中央财政以工代赈项目</t>
  </si>
  <si>
    <t>西合休乡尤隆4村</t>
  </si>
  <si>
    <t>河道修缮改造治理2.0公里及附属设施</t>
  </si>
  <si>
    <t>经济效益：预计给项目实施区域的群众解决就业岗位92人，发放劳务报酬120万元，人均增收1.3万元。
社会效益：提升项目实施区域的农村基础设施条件，助力乡村振兴建设。</t>
  </si>
  <si>
    <t>yc2025159</t>
  </si>
  <si>
    <t>叶城县柯克亚乡农村水利基础设施提升2025年中央财政以工代赈项目</t>
  </si>
  <si>
    <r>
      <rPr>
        <sz val="16"/>
        <rFont val="仿宋"/>
        <charset val="134"/>
      </rPr>
      <t>新建0.2-1.0m</t>
    </r>
    <r>
      <rPr>
        <sz val="16"/>
        <rFont val="宋体"/>
        <charset val="134"/>
      </rPr>
      <t>³</t>
    </r>
    <r>
      <rPr>
        <sz val="16"/>
        <rFont val="仿宋"/>
        <charset val="134"/>
      </rPr>
      <t>/s防渗渠约5.62公里及附属设施。本次建设5条渠道，配套渠系建筑物33座</t>
    </r>
  </si>
  <si>
    <t>经济效益：预计给项目实施区域的群众解决就业岗位80人，发放劳务报酬118万元，人均增收1.5万元。
社会效益：提升项目实施区域的农村基础设施条件，助力乡村振兴建设。</t>
  </si>
  <si>
    <t>yc2025160</t>
  </si>
  <si>
    <t>叶城县依提木孔镇种植业基地基础设施配套2025年中央财政以工代赈项目</t>
  </si>
  <si>
    <t>修建 0.2-0.8m3/s防渗渠道5.5 公里，并配套渠系建筑物。</t>
  </si>
  <si>
    <t>经济效益：预计给项目实施区域的群众解决就业岗位68人，发放劳务报酬120万元，人均增收1.7万元。
社会效益：提升项目实施区域的农村基础设施条件，助力乡村振兴建设。</t>
  </si>
  <si>
    <t>yc2025161</t>
  </si>
  <si>
    <t>叶城县夏合甫乡农村交通基础设施建设2025年中央财政以工代赈项目</t>
  </si>
  <si>
    <t>村级道路拓宽零星硬化24000平方米及附属配套</t>
  </si>
  <si>
    <t>经济效益：预计给项目实施区域的群众解决就业岗位65人，发放劳务报酬123万元，人均增收1.8万元。
社会效益：提升项目实施区域的农村基础设施条件，助力乡村振兴建设。</t>
  </si>
  <si>
    <t>yc2025162</t>
  </si>
  <si>
    <t>叶城县铁提乡水毁基础设施恢复重建2025年中央财政以工代赈项目</t>
  </si>
  <si>
    <t>改扩建0.6km防洪墙、护坡、护岸等附属设施</t>
  </si>
  <si>
    <t>经济效益：预计给项目实施区域的群众解决就业岗位68人，发放劳务报酬122万元，人均增收1.7万元。
社会效益：提升项目实施区域的农村基础设施条件，助力乡村振兴建设。</t>
  </si>
  <si>
    <t>yc2025163</t>
  </si>
  <si>
    <t>叶城县洛克乡农村水利基础设施提升2025年中央财政以工代赈项目</t>
  </si>
  <si>
    <r>
      <rPr>
        <sz val="16"/>
        <rFont val="仿宋"/>
        <charset val="134"/>
      </rPr>
      <t>新建0.2-1m</t>
    </r>
    <r>
      <rPr>
        <sz val="16"/>
        <rFont val="宋体"/>
        <charset val="134"/>
      </rPr>
      <t>³</t>
    </r>
    <r>
      <rPr>
        <sz val="16"/>
        <rFont val="仿宋"/>
        <charset val="134"/>
      </rPr>
      <t>/s防渗渠约3.9公里及附属设施。</t>
    </r>
  </si>
  <si>
    <t>经济效益：预计给项目实施区域的群众解决就业岗位52人，发放劳务报酬82万元，人均增收1.5万元。
社会效益：提升项目实施区域的农村基础设施条件，助力乡村振兴建设。</t>
  </si>
  <si>
    <t>yc2025164</t>
  </si>
  <si>
    <t>叶城县河园镇水利基础设施提升2025年中央财政以工代赈项目</t>
  </si>
  <si>
    <t>新建闸口100个、防渗渠水面盖板30米，涵洞14个等附属设施</t>
  </si>
  <si>
    <t>米</t>
  </si>
  <si>
    <t>经济效益：预计给项目实施区域的群众解决就业岗位35人，发放劳务报酬36万元，人均增收1万元。
社会效益：提升项目实施区域的农村基础设施条件，助力乡村振兴建设。</t>
  </si>
  <si>
    <t>yc2025165</t>
  </si>
  <si>
    <t>叶城县宗朗乡种植业基地配套设施2025年中央财政以工代赈项目</t>
  </si>
  <si>
    <t>新建0.2-0.8流量防渗渠5.6公里</t>
  </si>
  <si>
    <t>经济效益：预计给项目实施区域的群众解决就业岗位50人，发放劳务报酬118万元，人均增收2.36万元。
社会效益：提升项目实施区域的农村基础设施条件，助力乡村振兴建设。</t>
  </si>
  <si>
    <t>yc2025166</t>
  </si>
  <si>
    <t>叶城县金果镇道路建设2025年中央财政以工代赈项目</t>
  </si>
  <si>
    <t>扩宽道路8.58公里，硬化面积共计24380平方米。</t>
  </si>
  <si>
    <t>经济效益：预计给项目实施区域的群众解决就业岗位68人，发放劳务报酬119万元，人均增收1.75万元。
社会效益：提升项目实施区域的农村基础设施条件，助力乡村振兴建设。</t>
  </si>
  <si>
    <t>yc2025167</t>
  </si>
  <si>
    <t>叶城县江格勒斯乡农村交通基础设施提升2025年中央财政以工代赈项目</t>
  </si>
  <si>
    <t>新建沥青道路3.0km，建设道路宽度4.5m并修建道路附属设施</t>
  </si>
  <si>
    <t>经济效益：预计给项目实施区域的群众解决就业岗位45人，发放劳务报酬46万元，人均增收1万元。
社会效益：提升项目实施区域的农村基础设施条件，助力乡村振兴建设。</t>
  </si>
  <si>
    <t>yc2025168</t>
  </si>
  <si>
    <t>叶城县阿克塔什镇林场农村水利基础设施2025年中央财政以工代赈项目</t>
  </si>
  <si>
    <t>阿克塔什镇林场</t>
  </si>
  <si>
    <r>
      <rPr>
        <sz val="16"/>
        <rFont val="仿宋"/>
        <charset val="134"/>
      </rPr>
      <t>新建防渗渠3公里，其中：0.8m</t>
    </r>
    <r>
      <rPr>
        <sz val="16"/>
        <rFont val="宋体"/>
        <charset val="134"/>
      </rPr>
      <t>³</t>
    </r>
    <r>
      <rPr>
        <sz val="16"/>
        <rFont val="仿宋"/>
        <charset val="134"/>
      </rPr>
      <t>/S流量300米，0.5流量2.7公里</t>
    </r>
  </si>
  <si>
    <t>经济效益：预计给项目实施区域的群众解决就业岗位40人，发放劳务报酬65万元，人均增收1.6万元。
社会效益：提升项目实施区域的农村基础设施条件，助力乡村振兴建设。</t>
  </si>
  <si>
    <t>yc2025169</t>
  </si>
  <si>
    <t>叶城县恰尔巴格镇水利基础设施提升改造2025年中央财政以工代赈项目</t>
  </si>
  <si>
    <r>
      <rPr>
        <sz val="16"/>
        <rFont val="仿宋"/>
        <charset val="134"/>
      </rPr>
      <t>新建0.2-0.8m</t>
    </r>
    <r>
      <rPr>
        <sz val="16"/>
        <rFont val="宋体"/>
        <charset val="134"/>
      </rPr>
      <t>³</t>
    </r>
    <r>
      <rPr>
        <sz val="16"/>
        <rFont val="仿宋"/>
        <charset val="134"/>
      </rPr>
      <t>/s防渗渠约5.5公里及附属设施</t>
    </r>
  </si>
  <si>
    <t>经济效益：预计给项目实施区域的群众解决就业岗位80人，发放劳务报酬117万元，人均增收1.4万元。
社会效益：提升项目实施区域的农村基础设施条件，助力乡村振兴建设。</t>
  </si>
  <si>
    <t>yc2025170</t>
  </si>
  <si>
    <t>叶城县乌夏巴什镇交通基础设施改造2025年中央财政以工代赈项目</t>
  </si>
  <si>
    <t>硬化农村道路2.94万平方米及配套道路附属设施</t>
  </si>
  <si>
    <t>经济效益：预计给项目实施区域的群众解决就业岗位86人，发放劳务报酬118万元，人均增收1.4万元。
社会效益：提升项目实施区域的农村基础设施条件，助力乡村振兴建设。</t>
  </si>
  <si>
    <t>四</t>
  </si>
  <si>
    <t>巩固“三保障”成果</t>
  </si>
  <si>
    <t>yc2025171</t>
  </si>
  <si>
    <t>叶城县2025年雨露计划项目</t>
  </si>
  <si>
    <t>巩固三保障成果</t>
  </si>
  <si>
    <t>享受“雨露计划+”职业教育补助</t>
  </si>
  <si>
    <t>项目总投资3600万元。
建设内容：资助对象为就读于中职、中专（成人中专）、技工、高职等接受职业教育的叶城县户籍脱贫户家庭子女（含监测帮扶对象家庭子女）的实施补助，每人补助3000元，预计享受学生12000人。</t>
  </si>
  <si>
    <t>经济效益：资助标准3000元/学年，受助学生满意度100%；
社会效益：资助脱贫户（含监测帮扶对象）子女人数12000人，持续提升脱贫人口接受中高等职业教育比例，减轻脱贫户及监测帮扶学生和家庭就学压力。</t>
  </si>
  <si>
    <t>教育局</t>
  </si>
  <si>
    <t>梁虎</t>
  </si>
  <si>
    <t>五</t>
  </si>
  <si>
    <t>易地搬迁后扶</t>
  </si>
  <si>
    <t>yc2025172</t>
  </si>
  <si>
    <t>叶城县易地扶贫搬迁调整融资模式后地方政府债券贴息补助</t>
  </si>
  <si>
    <t>易地扶贫搬迁贷款债券贴息补助</t>
  </si>
  <si>
    <t>叶城县</t>
  </si>
  <si>
    <t>叶城县易地扶贫搬迁调整融资模式后地方政府债券贴息补助2156.2万元。</t>
  </si>
  <si>
    <t>万元</t>
  </si>
  <si>
    <t>经济效益：足额发放率100%，资金支付率100%
社会效益：通过本项目实施，有效减少债务风险，缓解地方债务压力。</t>
  </si>
  <si>
    <t>财政局</t>
  </si>
  <si>
    <t>沈丽丽</t>
  </si>
  <si>
    <t>六</t>
  </si>
  <si>
    <t>项目管理费</t>
  </si>
  <si>
    <t>yc2025173</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</si>
  <si>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</si>
  <si>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</si>
  <si>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用于衔接资金项目管理，提高项目管理质量</t>
  </si>
  <si>
    <t>七</t>
  </si>
  <si>
    <t>其他类</t>
  </si>
  <si>
    <t>yc2025174</t>
  </si>
  <si>
    <t>叶城县2025年“健康饮茶，送茶入户”项目</t>
  </si>
  <si>
    <t>其他</t>
  </si>
  <si>
    <t>困难群众饮用低氟茶</t>
  </si>
  <si>
    <t>项目总投资：48万元
建设内容：为全县10185户监测户，发放饮用低氟茶，2公斤/户，24元/公斤。</t>
  </si>
  <si>
    <t>社会效益：通过实施低氟边销茶入户项目，确保困难群众喝得起、喝得到低氟边销茶，引导群众提高对饮茶型低氟病的防治意识，受益监测对象≥10185户，项目验收合格率100%。</t>
  </si>
  <si>
    <t>yc2025175</t>
  </si>
  <si>
    <t>叶城县农业高质量发展培训项目</t>
  </si>
  <si>
    <t>技能培训</t>
  </si>
  <si>
    <t>项目总投资150万元
建设内容：培训农业专业技术人员500人。</t>
  </si>
  <si>
    <t>社会效益：通过对500人实施就业技能培训，增强群众就业技能，提升就业人员增收致富能力，受益对象满意度≥95%。</t>
  </si>
  <si>
    <t>叶城县2025年巩固拓展脱贫攻坚成果同乡村振兴有效衔接项目库</t>
  </si>
  <si>
    <t>计划实施批次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</si>
  <si>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</si>
  <si>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核桃产业化发展中心</t>
  </si>
  <si>
    <t>晁岱荣</t>
  </si>
  <si>
    <t>储备</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</si>
  <si>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</si>
  <si>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</si>
  <si>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</si>
  <si>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</si>
  <si>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</si>
  <si>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农业技术推广服务中心</t>
  </si>
  <si>
    <t>吴勇</t>
  </si>
  <si>
    <t>第二批</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</si>
  <si>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</si>
  <si>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</si>
  <si>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</si>
  <si>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</si>
  <si>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</si>
  <si>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农业经济发展服务中心</t>
  </si>
  <si>
    <t>范勇</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</si>
  <si>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</si>
  <si>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</si>
  <si>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</si>
  <si>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</si>
  <si>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</si>
  <si>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</si>
  <si>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</si>
  <si>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</si>
  <si>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</si>
  <si>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</si>
  <si>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</si>
  <si>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</si>
  <si>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</si>
  <si>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</si>
  <si>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</si>
  <si>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</si>
  <si>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</si>
  <si>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</si>
  <si>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</si>
  <si>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</si>
  <si>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</si>
  <si>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</si>
  <si>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</si>
  <si>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</si>
  <si>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</si>
  <si>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</si>
  <si>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</si>
  <si>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</si>
  <si>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</si>
  <si>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</si>
  <si>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</si>
  <si>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</si>
  <si>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项目总投资1627.5万元
建设内容：实施土地碎片化10850亩，1500元/亩。</t>
  </si>
  <si>
    <t>项目总投资1014.75万元
建设内容：实施土地碎片化6765亩，1500元/亩。</t>
  </si>
  <si>
    <t>叶城县2024年伯西热克镇石榴定植项目</t>
  </si>
  <si>
    <t>叶城县2025年白杨镇设施农业提升改造建设项目</t>
  </si>
  <si>
    <t>叶城县2025年养殖区粪污处理建设项目</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</si>
  <si>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</si>
  <si>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叶城县2025年肉羊人工授精产业项目</t>
  </si>
  <si>
    <t>项目总投资500万元
建设内容：购买肉羊同期发情人工授精技术服务，完成全县10万只肉羊同期发情人工授精进，一步提高肉羊经济效益，带动养殖户增产增效。</t>
  </si>
  <si>
    <t>叶城县2025年肉牛人工授精产业项目</t>
  </si>
  <si>
    <t>项目总投资200万元
建设内容：购买肉牛性控冻精同期发情人工授精技术服务，完成全县1万头肉牛同期发情人工授精，进一步提高肉牛经济效益，带动养殖户增产增效。</t>
  </si>
  <si>
    <t>智慧农业</t>
  </si>
  <si>
    <t>项目总投资395万元
建设内容：在宗朗乡产业园区新建彩钢棚2座、5000平方米及水电提升改造等配套附属设施。</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</si>
  <si>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</si>
  <si>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</si>
  <si>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r>
      <rPr>
        <sz val="20"/>
        <rFont val="仿宋"/>
        <charset val="134"/>
      </rPr>
      <t>项目总投资2130万元
建设内容：新建0.2-0.8m</t>
    </r>
    <r>
      <rPr>
        <sz val="20"/>
        <rFont val="宋体"/>
        <charset val="134"/>
      </rPr>
      <t>³</t>
    </r>
    <r>
      <rPr>
        <sz val="20"/>
        <rFont val="仿宋"/>
        <charset val="134"/>
      </rPr>
      <t>/s防渗渠28.4公里及配套，75万元/公里。</t>
    </r>
  </si>
  <si>
    <r>
      <rPr>
        <sz val="20"/>
        <rFont val="仿宋"/>
        <charset val="134"/>
      </rPr>
      <t>项目总投资1200万元
建设内容：新建0.2-0.8m</t>
    </r>
    <r>
      <rPr>
        <sz val="20"/>
        <rFont val="宋体"/>
        <charset val="134"/>
      </rPr>
      <t>³</t>
    </r>
    <r>
      <rPr>
        <sz val="20"/>
        <rFont val="仿宋"/>
        <charset val="134"/>
      </rPr>
      <t>/s防渗渠16公里及配套，75万元/公里。</t>
    </r>
  </si>
  <si>
    <r>
      <rPr>
        <sz val="20"/>
        <rFont val="仿宋"/>
        <charset val="134"/>
      </rPr>
      <t>项目总投资1275万元
建设内容：新建0.2-0.8m</t>
    </r>
    <r>
      <rPr>
        <sz val="20"/>
        <rFont val="宋体"/>
        <charset val="134"/>
      </rPr>
      <t>³</t>
    </r>
    <r>
      <rPr>
        <sz val="20"/>
        <rFont val="仿宋"/>
        <charset val="134"/>
      </rPr>
      <t>/s防渗渠17公里及配套，75万元/公里。</t>
    </r>
  </si>
  <si>
    <r>
      <rPr>
        <sz val="20"/>
        <rFont val="仿宋"/>
        <charset val="134"/>
      </rPr>
      <t>项目总投资919.8万元
建设内容：新建0.2-0.8m</t>
    </r>
    <r>
      <rPr>
        <sz val="20"/>
        <rFont val="宋体"/>
        <charset val="134"/>
      </rPr>
      <t>³</t>
    </r>
    <r>
      <rPr>
        <sz val="20"/>
        <rFont val="仿宋"/>
        <charset val="134"/>
      </rPr>
      <t>/s防渗渠12.264公里及配套，75万元/公里。</t>
    </r>
  </si>
  <si>
    <r>
      <rPr>
        <sz val="20"/>
        <rFont val="仿宋"/>
        <charset val="134"/>
      </rPr>
      <t>项目总投资1095万元
建设内容：新建0.2-0.8m</t>
    </r>
    <r>
      <rPr>
        <sz val="20"/>
        <rFont val="宋体"/>
        <charset val="134"/>
      </rPr>
      <t>³</t>
    </r>
    <r>
      <rPr>
        <sz val="20"/>
        <rFont val="仿宋"/>
        <charset val="134"/>
      </rPr>
      <t>/s防渗渠14.6公里及配套，75万元/公里。</t>
    </r>
  </si>
  <si>
    <r>
      <rPr>
        <sz val="20"/>
        <rFont val="仿宋"/>
        <charset val="134"/>
      </rPr>
      <t>项目总投资802.5万元
建设内容：新建0.2-0.8m</t>
    </r>
    <r>
      <rPr>
        <sz val="20"/>
        <rFont val="宋体"/>
        <charset val="134"/>
      </rPr>
      <t>³</t>
    </r>
    <r>
      <rPr>
        <sz val="20"/>
        <rFont val="仿宋"/>
        <charset val="134"/>
      </rPr>
      <t>/s防渗渠10.7公里及配套，75万元/公里。</t>
    </r>
  </si>
  <si>
    <r>
      <rPr>
        <sz val="20"/>
        <rFont val="仿宋"/>
        <charset val="134"/>
      </rPr>
      <t>项目总投资1500万元
建设内容：新建0.2-0.8m</t>
    </r>
    <r>
      <rPr>
        <sz val="20"/>
        <rFont val="宋体"/>
        <charset val="134"/>
      </rPr>
      <t>³</t>
    </r>
    <r>
      <rPr>
        <sz val="20"/>
        <rFont val="仿宋"/>
        <charset val="134"/>
      </rPr>
      <t>/s防渗渠20公里及配套，75万元/公里。</t>
    </r>
  </si>
  <si>
    <r>
      <rPr>
        <sz val="20"/>
        <rFont val="仿宋"/>
        <charset val="134"/>
      </rPr>
      <t>项目总投资1732.5万元
建设内容：新建0.2-0.8m</t>
    </r>
    <r>
      <rPr>
        <sz val="20"/>
        <rFont val="宋体"/>
        <charset val="134"/>
      </rPr>
      <t>³</t>
    </r>
    <r>
      <rPr>
        <sz val="20"/>
        <rFont val="仿宋"/>
        <charset val="134"/>
      </rPr>
      <t>/s防渗渠23.1公里及配套，75万元/公里。</t>
    </r>
  </si>
  <si>
    <r>
      <rPr>
        <sz val="20"/>
        <rFont val="仿宋"/>
        <charset val="134"/>
      </rPr>
      <t>项目总投资540万元
建设内容：新建0.2-0.8m</t>
    </r>
    <r>
      <rPr>
        <sz val="20"/>
        <rFont val="宋体"/>
        <charset val="134"/>
      </rPr>
      <t>³</t>
    </r>
    <r>
      <rPr>
        <sz val="20"/>
        <rFont val="仿宋"/>
        <charset val="134"/>
      </rPr>
      <t>/s防渗渠7.2公里及配套，75万元/公里。</t>
    </r>
  </si>
  <si>
    <r>
      <rPr>
        <sz val="20"/>
        <rFont val="仿宋"/>
        <charset val="134"/>
      </rPr>
      <t>项目总投资750万元
建设内容：新建0.2-0.8m</t>
    </r>
    <r>
      <rPr>
        <sz val="20"/>
        <rFont val="宋体"/>
        <charset val="134"/>
      </rPr>
      <t>³</t>
    </r>
    <r>
      <rPr>
        <sz val="20"/>
        <rFont val="仿宋"/>
        <charset val="134"/>
      </rPr>
      <t>/s防渗渠10公里及配套，75万元/公里。</t>
    </r>
  </si>
  <si>
    <r>
      <rPr>
        <sz val="20"/>
        <rFont val="仿宋"/>
        <charset val="134"/>
      </rPr>
      <t>项目总投资840万元
建设内容：新建0.2-0.8m</t>
    </r>
    <r>
      <rPr>
        <sz val="20"/>
        <rFont val="宋体"/>
        <charset val="134"/>
      </rPr>
      <t>³</t>
    </r>
    <r>
      <rPr>
        <sz val="20"/>
        <rFont val="仿宋"/>
        <charset val="134"/>
      </rPr>
      <t>/s防渗渠11.2公里及配套，75万元/公里。</t>
    </r>
  </si>
  <si>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</si>
  <si>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</si>
  <si>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（一）示范村创建</t>
  </si>
  <si>
    <t>叶城县2025年乌吉热克乡18村自治区级重点示范村乡村建设项目</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</si>
  <si>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</si>
  <si>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叶城县2025年江格勒斯乡9村自治区级重点示范村乡村建设项目</t>
  </si>
  <si>
    <t>村容村貌提升</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</si>
  <si>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</si>
  <si>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</si>
  <si>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叶城县2025年阿克塔什镇良种场道路硬化建设项目</t>
  </si>
  <si>
    <t>阿克塔什镇良种场</t>
  </si>
  <si>
    <t>项目总投资80万元
建设内容：道路硬化5000㎡及附属配套。</t>
  </si>
  <si>
    <t>叶城县2025年乌吉热克乡17村乡村道路建设项目</t>
  </si>
  <si>
    <t>乌吉热克乡17村</t>
  </si>
  <si>
    <t>项目总投资：240万元   
建设内容：道路拓宽硬化14000平方米并配套相关附属设施。</t>
  </si>
  <si>
    <t>项目总投资780万元
建设内容：1.新增中水管道DE160PE管8公里以及配套设施设备；
2.单项顶管施工工艺；
3.灌溉（包含喷灌、滴灌）以及配套设施设备；
4.新建500m3蓄水池以及配套设施设备。</t>
  </si>
  <si>
    <t>yc2025147</t>
  </si>
  <si>
    <t>乡村振兴产业发展中心</t>
  </si>
  <si>
    <t>王慧</t>
  </si>
  <si>
    <t>（三）农村安全饮水工程</t>
  </si>
  <si>
    <t>yc2025148</t>
  </si>
  <si>
    <t>yc2025149</t>
  </si>
  <si>
    <t>项目总投资1469.61万元
建设内容：更换及改造管道约123公里及配套各类附属建筑物</t>
  </si>
  <si>
    <t>（四）以工代赈</t>
  </si>
  <si>
    <t>yc2025150</t>
  </si>
  <si>
    <r>
      <rPr>
        <sz val="20"/>
        <rFont val="仿宋"/>
        <charset val="134"/>
      </rPr>
      <t>新建0.6-1m</t>
    </r>
    <r>
      <rPr>
        <sz val="20"/>
        <rFont val="宋体"/>
        <charset val="134"/>
      </rPr>
      <t>³</t>
    </r>
    <r>
      <rPr>
        <sz val="20"/>
        <rFont val="仿宋"/>
        <charset val="134"/>
      </rPr>
      <t>/s防渗渠5.6公里，配套渠系建筑物124座。</t>
    </r>
  </si>
  <si>
    <t>yc2025151</t>
  </si>
  <si>
    <r>
      <rPr>
        <sz val="20"/>
        <rFont val="仿宋"/>
        <charset val="134"/>
      </rPr>
      <t>新建0.2-1.0m</t>
    </r>
    <r>
      <rPr>
        <sz val="20"/>
        <rFont val="宋体"/>
        <charset val="134"/>
      </rPr>
      <t>³</t>
    </r>
    <r>
      <rPr>
        <sz val="20"/>
        <rFont val="仿宋"/>
        <charset val="134"/>
      </rPr>
      <t>/s防渗渠约5.62公里及附属设施。本次建设5条渠道，配套渠系建筑物33座</t>
    </r>
  </si>
  <si>
    <r>
      <rPr>
        <sz val="20"/>
        <rFont val="仿宋"/>
        <charset val="134"/>
      </rPr>
      <t>新建0.2-1m</t>
    </r>
    <r>
      <rPr>
        <sz val="20"/>
        <rFont val="宋体"/>
        <charset val="134"/>
      </rPr>
      <t>³</t>
    </r>
    <r>
      <rPr>
        <sz val="20"/>
        <rFont val="仿宋"/>
        <charset val="134"/>
      </rPr>
      <t>/s防渗渠约3.9公里及附属设施。</t>
    </r>
  </si>
  <si>
    <r>
      <rPr>
        <sz val="20"/>
        <rFont val="仿宋"/>
        <charset val="134"/>
      </rPr>
      <t>新建防渗渠3公里，其中：0.8m</t>
    </r>
    <r>
      <rPr>
        <sz val="20"/>
        <rFont val="宋体"/>
        <charset val="134"/>
      </rPr>
      <t>³</t>
    </r>
    <r>
      <rPr>
        <sz val="20"/>
        <rFont val="仿宋"/>
        <charset val="134"/>
      </rPr>
      <t>/S流量300米，0.5流量2.7公里</t>
    </r>
  </si>
  <si>
    <r>
      <rPr>
        <sz val="20"/>
        <rFont val="仿宋"/>
        <charset val="134"/>
      </rPr>
      <t>新建0.2-0.8m</t>
    </r>
    <r>
      <rPr>
        <sz val="20"/>
        <rFont val="宋体"/>
        <charset val="134"/>
      </rPr>
      <t>³</t>
    </r>
    <r>
      <rPr>
        <sz val="20"/>
        <rFont val="仿宋"/>
        <charset val="134"/>
      </rPr>
      <t>/s防渗渠约5.5公里及附属设施</t>
    </r>
  </si>
  <si>
    <t>叶城县2025年巩固拓展脱贫攻坚成果同乡村振兴第一批项目计划</t>
  </si>
  <si>
    <t>主管单位</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</si>
  <si>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</si>
  <si>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</si>
  <si>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</si>
  <si>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</si>
  <si>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</si>
  <si>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</si>
  <si>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</si>
  <si>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</si>
  <si>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</si>
  <si>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项目总投资40.2554万元
建设内容：托管服务补助465户4025.54亩，100元/亩，其中江格勒斯乡46户195.2亩、乌吉热克乡16户175亩、乌夏巴什镇202户1445.34亩、依力克其乡201户2210亩。</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</si>
  <si>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</si>
  <si>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</si>
  <si>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</si>
  <si>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</si>
  <si>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</si>
  <si>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</si>
  <si>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</si>
  <si>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</si>
  <si>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</si>
  <si>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</si>
  <si>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</si>
  <si>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</si>
  <si>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</si>
  <si>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</si>
  <si>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</si>
  <si>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</si>
  <si>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</si>
  <si>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</si>
  <si>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</si>
  <si>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</si>
  <si>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</si>
  <si>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</si>
  <si>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曾恭勤</t>
  </si>
  <si>
    <t>白杨镇7村、20村</t>
  </si>
  <si>
    <t>项目总投资368万元
建设内容：林粮间作节水2045亩，1800元/亩，配套沉砂池、泵房及电力设施等。</t>
  </si>
  <si>
    <t>王雪强</t>
  </si>
  <si>
    <t>伯西热克镇1村</t>
  </si>
  <si>
    <t>项目总投资288万元
建设内容：林粮间作节水1600亩，1800元/亩，配套沉砂池、泵房及电力设施等。</t>
  </si>
  <si>
    <t>武进邹</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</si>
  <si>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</si>
  <si>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</si>
  <si>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</si>
  <si>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</si>
  <si>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陈传波</t>
  </si>
  <si>
    <t>黄顺斌</t>
  </si>
  <si>
    <t>张海龙</t>
  </si>
  <si>
    <t>汪进飞</t>
  </si>
  <si>
    <t>恰其库木管理区1村、2村、4村</t>
  </si>
  <si>
    <t>肖详军</t>
  </si>
  <si>
    <t>王东</t>
  </si>
  <si>
    <t>吐古其乡1村、4村、5村、8村、14村</t>
  </si>
  <si>
    <t>黄林</t>
  </si>
  <si>
    <t>乌吉热克乡10村、11村</t>
  </si>
  <si>
    <t>项目总投资395万元
建设内容：林粮间作节水2367亩，其中：10村1405亩、11村962亩，1668元/亩，配套沉砂池、泵房及电力设施等。</t>
  </si>
  <si>
    <t>李晓倩</t>
  </si>
  <si>
    <t>王友川</t>
  </si>
  <si>
    <t>依力克其乡14村</t>
  </si>
  <si>
    <t>项目总投资387万元
建设内容：林粮间作节水2150亩，1800元/亩，配套沉砂池、泵房及电力设施等。</t>
  </si>
  <si>
    <t>张兆海</t>
  </si>
  <si>
    <t>朱辽荣</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</si>
  <si>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</si>
  <si>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</si>
  <si>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</si>
  <si>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</si>
  <si>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</si>
  <si>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</si>
  <si>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</si>
  <si>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</si>
  <si>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</si>
  <si>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窦晨</t>
  </si>
  <si>
    <t>（四）蔬菜产业提质增效</t>
  </si>
  <si>
    <t>赵振中</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</si>
  <si>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</si>
  <si>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</si>
  <si>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</si>
  <si>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</si>
  <si>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</si>
  <si>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</si>
  <si>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</si>
  <si>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</si>
  <si>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</si>
  <si>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</si>
  <si>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</si>
  <si>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</si>
  <si>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</si>
  <si>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</si>
  <si>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</si>
  <si>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</si>
  <si>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</si>
  <si>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</si>
  <si>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</si>
  <si>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</si>
  <si>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</si>
  <si>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</si>
  <si>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</si>
  <si>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</si>
  <si>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</si>
  <si>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</si>
  <si>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</si>
  <si>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</si>
  <si>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</si>
  <si>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</si>
  <si>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</si>
  <si>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金森</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</si>
  <si>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</si>
  <si>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</si>
  <si>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</si>
  <si>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t>唐海军</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</si>
  <si>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</si>
  <si>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</si>
  <si>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</si>
  <si>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</si>
  <si>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</si>
  <si>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</si>
  <si>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</si>
  <si>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</si>
  <si>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王英</t>
  </si>
  <si>
    <t>项目总投资1800万元。
建设内容：资助对象为就读于中职、中专（成人中专）、技工、高职等接受职业教育的叶城县户籍脱贫户家庭子女（含监测帮扶对象家庭子女）的实施补助，每人补助3000元，预计享受学生6000人。</t>
  </si>
  <si>
    <t>叶城县2025年吐古其乡13村农村污水治理项目</t>
  </si>
  <si>
    <t>吐古其乡13村</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</si>
  <si>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</si>
  <si>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</si>
  <si>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</si>
  <si>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</si>
  <si>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</si>
  <si>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巴仁乡4村</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</si>
  <si>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</si>
  <si>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</si>
  <si>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</si>
  <si>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</si>
  <si>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</si>
  <si>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</si>
  <si>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</si>
  <si>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</si>
  <si>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</si>
  <si>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</si>
  <si>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</si>
  <si>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t>依力克其乡12村</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</si>
  <si>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</si>
  <si>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</si>
  <si>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</si>
  <si>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</si>
  <si>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</si>
  <si>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</si>
  <si>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</si>
  <si>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</si>
  <si>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</si>
  <si>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</si>
  <si>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</si>
  <si>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</si>
  <si>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依提木孔镇11村</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</si>
  <si>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</si>
  <si>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</si>
  <si>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t>依提木孔镇21村</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</si>
  <si>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</si>
  <si>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</si>
  <si>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</si>
  <si>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</si>
  <si>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</si>
  <si>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</si>
  <si>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</si>
  <si>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</si>
  <si>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</si>
  <si>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</si>
  <si>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</si>
  <si>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</si>
  <si>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</si>
  <si>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</si>
  <si>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</si>
  <si>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水产养殖业发展</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</si>
  <si>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</si>
  <si>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</si>
  <si>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</si>
  <si>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</si>
  <si>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</si>
  <si>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</si>
  <si>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</si>
  <si>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</si>
  <si>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</si>
  <si>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</si>
  <si>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</si>
  <si>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</si>
  <si>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</si>
  <si>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</si>
  <si>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小型农田水利设施建设</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</si>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</sst>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s>
  <fonts count="48">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sz val="28"/>
      <name val="方正仿宋_GBK"/>
      <charset val="134"/>
    </font>
    <font>
      <sz val="20"/>
      <name val="仿宋"/>
      <charset val="134"/>
    </font>
    <font>
      <b/>
      <sz val="20"/>
      <name val="仿宋"/>
      <charset val="134"/>
    </font>
    <font>
      <sz val="20"/>
      <name val="方正仿宋_GBK"/>
      <charset val="134"/>
    </font>
    <font>
      <sz val="16"/>
      <name val="方正仿宋_GBK"/>
      <charset val="134"/>
    </font>
    <font>
      <sz val="16"/>
      <color rgb="FFFF0000"/>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28"/>
      <name val="宋体"/>
      <charset val="134"/>
    </font>
    <font>
      <sz val="16"/>
      <name val="宋体"/>
      <charset val="134"/>
    </font>
    <font>
      <b/>
      <sz val="18"/>
      <color indexed="10"/>
      <name val="仿宋"/>
      <charset val="134"/>
    </font>
  </fonts>
  <fills count="3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cellStyleXfs>
  <cellXfs count="16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4" borderId="0" xfId="0" applyFont="1" applyFill="1" applyAlignment="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0" fillId="0" borderId="1" xfId="3"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12" fillId="0" borderId="0" xfId="0" applyNumberFormat="1" applyFont="1" applyFill="1" applyAlignment="1">
      <alignment horizontal="center" vertical="center" wrapText="1"/>
    </xf>
    <xf numFmtId="0" fontId="18"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1" fillId="0" borderId="3"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10" fontId="20" fillId="0" borderId="1" xfId="3"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4" xfId="0" applyFont="1" applyFill="1" applyBorder="1" applyAlignment="1" applyProtection="1">
      <alignment horizontal="center" vertical="center" wrapText="1"/>
    </xf>
    <xf numFmtId="0" fontId="19" fillId="0" borderId="1" xfId="0" applyFont="1" applyFill="1" applyBorder="1" applyAlignment="1">
      <alignment vertical="center" wrapText="1"/>
    </xf>
    <xf numFmtId="176" fontId="19" fillId="0" borderId="1" xfId="0" applyNumberFormat="1" applyFont="1" applyFill="1" applyBorder="1" applyAlignment="1">
      <alignment horizontal="center" vertical="center"/>
    </xf>
    <xf numFmtId="0" fontId="19" fillId="0" borderId="1" xfId="0" applyFont="1" applyFill="1" applyBorder="1" applyAlignment="1" applyProtection="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Alignment="1">
      <alignment horizontal="center" vertical="center"/>
    </xf>
    <xf numFmtId="0" fontId="13" fillId="0" borderId="0" xfId="0" applyFont="1" applyFill="1" applyAlignment="1">
      <alignment horizontal="left"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wrapText="1"/>
    </xf>
    <xf numFmtId="0" fontId="16" fillId="0" borderId="0" xfId="0" applyFont="1" applyFill="1" applyAlignment="1">
      <alignment horizontal="left" vertical="center"/>
    </xf>
    <xf numFmtId="176" fontId="4" fillId="0" borderId="1" xfId="0" applyNumberFormat="1" applyFont="1" applyFill="1" applyBorder="1" applyAlignment="1" applyProtection="1">
      <alignment horizontal="left" vertical="center" wrapText="1"/>
    </xf>
    <xf numFmtId="178" fontId="5" fillId="0" borderId="0" xfId="0" applyNumberFormat="1" applyFont="1" applyFill="1" applyAlignment="1">
      <alignment horizontal="center" vertical="center" wrapText="1"/>
    </xf>
    <xf numFmtId="0" fontId="22"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pplyProtection="1">
      <alignment horizontal="left" vertical="center" wrapText="1"/>
    </xf>
    <xf numFmtId="177" fontId="5" fillId="0" borderId="1" xfId="0" applyNumberFormat="1" applyFont="1" applyFill="1" applyBorder="1" applyAlignment="1">
      <alignment horizontal="left" vertical="center"/>
    </xf>
    <xf numFmtId="177"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23"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137</xdr:row>
      <xdr:rowOff>0</xdr:rowOff>
    </xdr:from>
    <xdr:to>
      <xdr:col>7</xdr:col>
      <xdr:colOff>9525</xdr:colOff>
      <xdr:row>137</xdr:row>
      <xdr:rowOff>10160</xdr:rowOff>
    </xdr:to>
    <xdr:pic>
      <xdr:nvPicPr>
        <xdr:cNvPr id="2" name="图片 3"/>
        <xdr:cNvPicPr>
          <a:picLocks noChangeAspect="1"/>
        </xdr:cNvPicPr>
      </xdr:nvPicPr>
      <xdr:blipFill>
        <a:blip r:embed="rId1"/>
        <a:stretch>
          <a:fillRect/>
        </a:stretch>
      </xdr:blipFill>
      <xdr:spPr>
        <a:xfrm>
          <a:off x="11130280" y="192011300"/>
          <a:ext cx="9525" cy="10160"/>
        </a:xfrm>
        <a:prstGeom prst="rect">
          <a:avLst/>
        </a:prstGeom>
        <a:noFill/>
        <a:ln w="9525">
          <a:noFill/>
        </a:ln>
      </xdr:spPr>
    </xdr:pic>
    <xdr:clientData/>
  </xdr:twoCellAnchor>
  <xdr:twoCellAnchor editAs="oneCell">
    <xdr:from>
      <xdr:col>7</xdr:col>
      <xdr:colOff>0</xdr:colOff>
      <xdr:row>83</xdr:row>
      <xdr:rowOff>0</xdr:rowOff>
    </xdr:from>
    <xdr:to>
      <xdr:col>7</xdr:col>
      <xdr:colOff>9525</xdr:colOff>
      <xdr:row>83</xdr:row>
      <xdr:rowOff>10160</xdr:rowOff>
    </xdr:to>
    <xdr:pic>
      <xdr:nvPicPr>
        <xdr:cNvPr id="3" name="图片 3"/>
        <xdr:cNvPicPr>
          <a:picLocks noChangeAspect="1"/>
        </xdr:cNvPicPr>
      </xdr:nvPicPr>
      <xdr:blipFill>
        <a:blip r:embed="rId1"/>
        <a:stretch>
          <a:fillRect/>
        </a:stretch>
      </xdr:blipFill>
      <xdr:spPr>
        <a:xfrm>
          <a:off x="11130280" y="115011200"/>
          <a:ext cx="9525" cy="10160"/>
        </a:xfrm>
        <a:prstGeom prst="rect">
          <a:avLst/>
        </a:prstGeom>
        <a:noFill/>
        <a:ln w="9525">
          <a:noFill/>
        </a:ln>
      </xdr:spPr>
    </xdr:pic>
    <xdr:clientData/>
  </xdr:twoCellAnchor>
  <xdr:twoCellAnchor editAs="oneCell">
    <xdr:from>
      <xdr:col>7</xdr:col>
      <xdr:colOff>0</xdr:colOff>
      <xdr:row>100</xdr:row>
      <xdr:rowOff>0</xdr:rowOff>
    </xdr:from>
    <xdr:to>
      <xdr:col>7</xdr:col>
      <xdr:colOff>9525</xdr:colOff>
      <xdr:row>100</xdr:row>
      <xdr:rowOff>10160</xdr:rowOff>
    </xdr:to>
    <xdr:pic>
      <xdr:nvPicPr>
        <xdr:cNvPr id="4" name="图片 3"/>
        <xdr:cNvPicPr>
          <a:picLocks noChangeAspect="1"/>
        </xdr:cNvPicPr>
      </xdr:nvPicPr>
      <xdr:blipFill>
        <a:blip r:embed="rId1"/>
        <a:stretch>
          <a:fillRect/>
        </a:stretch>
      </xdr:blipFill>
      <xdr:spPr>
        <a:xfrm>
          <a:off x="11130280" y="139331700"/>
          <a:ext cx="9525" cy="10160"/>
        </a:xfrm>
        <a:prstGeom prst="rect">
          <a:avLst/>
        </a:prstGeom>
        <a:noFill/>
        <a:ln w="9525">
          <a:noFill/>
        </a:ln>
      </xdr:spPr>
    </xdr:pic>
    <xdr:clientData/>
  </xdr:twoCellAnchor>
  <xdr:twoCellAnchor editAs="oneCell">
    <xdr:from>
      <xdr:col>7</xdr:col>
      <xdr:colOff>0</xdr:colOff>
      <xdr:row>85</xdr:row>
      <xdr:rowOff>0</xdr:rowOff>
    </xdr:from>
    <xdr:to>
      <xdr:col>7</xdr:col>
      <xdr:colOff>9525</xdr:colOff>
      <xdr:row>85</xdr:row>
      <xdr:rowOff>10160</xdr:rowOff>
    </xdr:to>
    <xdr:pic>
      <xdr:nvPicPr>
        <xdr:cNvPr id="5" name="图片 3"/>
        <xdr:cNvPicPr>
          <a:picLocks noChangeAspect="1"/>
        </xdr:cNvPicPr>
      </xdr:nvPicPr>
      <xdr:blipFill>
        <a:blip r:embed="rId1"/>
        <a:stretch>
          <a:fillRect/>
        </a:stretch>
      </xdr:blipFill>
      <xdr:spPr>
        <a:xfrm>
          <a:off x="11130280" y="11757660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11130280" y="9968230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7" name="图片 3"/>
        <xdr:cNvPicPr>
          <a:picLocks noChangeAspect="1"/>
        </xdr:cNvPicPr>
      </xdr:nvPicPr>
      <xdr:blipFill>
        <a:blip r:embed="rId1"/>
        <a:stretch>
          <a:fillRect/>
        </a:stretch>
      </xdr:blipFill>
      <xdr:spPr>
        <a:xfrm>
          <a:off x="11130280" y="1118997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11130280" y="93268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1130280" y="0"/>
          <a:ext cx="9525" cy="10160"/>
        </a:xfrm>
        <a:prstGeom prst="rect">
          <a:avLst/>
        </a:prstGeom>
        <a:noFill/>
        <a:ln w="9525">
          <a:noFill/>
        </a:ln>
      </xdr:spPr>
    </xdr:pic>
    <xdr:clientData/>
  </xdr:twoCellAnchor>
  <xdr:twoCellAnchor editAs="oneCell">
    <xdr:from>
      <xdr:col>7</xdr:col>
      <xdr:colOff>0</xdr:colOff>
      <xdr:row>146</xdr:row>
      <xdr:rowOff>0</xdr:rowOff>
    </xdr:from>
    <xdr:to>
      <xdr:col>7</xdr:col>
      <xdr:colOff>9525</xdr:colOff>
      <xdr:row>146</xdr:row>
      <xdr:rowOff>10160</xdr:rowOff>
    </xdr:to>
    <xdr:pic>
      <xdr:nvPicPr>
        <xdr:cNvPr id="10" name="图片 3"/>
        <xdr:cNvPicPr>
          <a:picLocks noChangeAspect="1"/>
        </xdr:cNvPicPr>
      </xdr:nvPicPr>
      <xdr:blipFill>
        <a:blip r:embed="rId1"/>
        <a:stretch>
          <a:fillRect/>
        </a:stretch>
      </xdr:blipFill>
      <xdr:spPr>
        <a:xfrm>
          <a:off x="11130280" y="203682600"/>
          <a:ext cx="9525" cy="10160"/>
        </a:xfrm>
        <a:prstGeom prst="rect">
          <a:avLst/>
        </a:prstGeom>
        <a:noFill/>
        <a:ln w="9525">
          <a:noFill/>
        </a:ln>
      </xdr:spPr>
    </xdr:pic>
    <xdr:clientData/>
  </xdr:twoCellAnchor>
  <xdr:twoCellAnchor editAs="oneCell">
    <xdr:from>
      <xdr:col>7</xdr:col>
      <xdr:colOff>0</xdr:colOff>
      <xdr:row>120</xdr:row>
      <xdr:rowOff>0</xdr:rowOff>
    </xdr:from>
    <xdr:to>
      <xdr:col>7</xdr:col>
      <xdr:colOff>9525</xdr:colOff>
      <xdr:row>120</xdr:row>
      <xdr:rowOff>10160</xdr:rowOff>
    </xdr:to>
    <xdr:pic>
      <xdr:nvPicPr>
        <xdr:cNvPr id="11" name="图片 3"/>
        <xdr:cNvPicPr>
          <a:picLocks noChangeAspect="1"/>
        </xdr:cNvPicPr>
      </xdr:nvPicPr>
      <xdr:blipFill>
        <a:blip r:embed="rId1"/>
        <a:stretch>
          <a:fillRect/>
        </a:stretch>
      </xdr:blipFill>
      <xdr:spPr>
        <a:xfrm>
          <a:off x="11130280" y="167932100"/>
          <a:ext cx="9525" cy="10160"/>
        </a:xfrm>
        <a:prstGeom prst="rect">
          <a:avLst/>
        </a:prstGeom>
        <a:noFill/>
        <a:ln w="9525">
          <a:noFill/>
        </a:ln>
      </xdr:spPr>
    </xdr:pic>
    <xdr:clientData/>
  </xdr:twoCellAnchor>
  <xdr:twoCellAnchor editAs="oneCell">
    <xdr:from>
      <xdr:col>7</xdr:col>
      <xdr:colOff>0</xdr:colOff>
      <xdr:row>142</xdr:row>
      <xdr:rowOff>0</xdr:rowOff>
    </xdr:from>
    <xdr:to>
      <xdr:col>7</xdr:col>
      <xdr:colOff>9525</xdr:colOff>
      <xdr:row>142</xdr:row>
      <xdr:rowOff>10160</xdr:rowOff>
    </xdr:to>
    <xdr:pic>
      <xdr:nvPicPr>
        <xdr:cNvPr id="14" name="图片 3"/>
        <xdr:cNvPicPr>
          <a:picLocks noChangeAspect="1"/>
        </xdr:cNvPicPr>
      </xdr:nvPicPr>
      <xdr:blipFill>
        <a:blip r:embed="rId1"/>
        <a:stretch>
          <a:fillRect/>
        </a:stretch>
      </xdr:blipFill>
      <xdr:spPr>
        <a:xfrm>
          <a:off x="11130280" y="197726300"/>
          <a:ext cx="9525" cy="10160"/>
        </a:xfrm>
        <a:prstGeom prst="rect">
          <a:avLst/>
        </a:prstGeom>
        <a:noFill/>
        <a:ln w="9525">
          <a:noFill/>
        </a:ln>
      </xdr:spPr>
    </xdr:pic>
    <xdr:clientData/>
  </xdr:twoCellAnchor>
  <xdr:twoCellAnchor editAs="oneCell">
    <xdr:from>
      <xdr:col>7</xdr:col>
      <xdr:colOff>0</xdr:colOff>
      <xdr:row>137</xdr:row>
      <xdr:rowOff>0</xdr:rowOff>
    </xdr:from>
    <xdr:to>
      <xdr:col>7</xdr:col>
      <xdr:colOff>9525</xdr:colOff>
      <xdr:row>137</xdr:row>
      <xdr:rowOff>10160</xdr:rowOff>
    </xdr:to>
    <xdr:pic>
      <xdr:nvPicPr>
        <xdr:cNvPr id="12" name="图片 3"/>
        <xdr:cNvPicPr>
          <a:picLocks noChangeAspect="1"/>
        </xdr:cNvPicPr>
      </xdr:nvPicPr>
      <xdr:blipFill>
        <a:blip r:embed="rId1"/>
        <a:stretch>
          <a:fillRect/>
        </a:stretch>
      </xdr:blipFill>
      <xdr:spPr>
        <a:xfrm>
          <a:off x="11130280" y="192011300"/>
          <a:ext cx="9525" cy="10160"/>
        </a:xfrm>
        <a:prstGeom prst="rect">
          <a:avLst/>
        </a:prstGeom>
        <a:noFill/>
        <a:ln w="9525">
          <a:noFill/>
        </a:ln>
      </xdr:spPr>
    </xdr:pic>
    <xdr:clientData/>
  </xdr:twoCellAnchor>
  <xdr:twoCellAnchor editAs="oneCell">
    <xdr:from>
      <xdr:col>7</xdr:col>
      <xdr:colOff>0</xdr:colOff>
      <xdr:row>142</xdr:row>
      <xdr:rowOff>0</xdr:rowOff>
    </xdr:from>
    <xdr:to>
      <xdr:col>7</xdr:col>
      <xdr:colOff>9525</xdr:colOff>
      <xdr:row>142</xdr:row>
      <xdr:rowOff>10160</xdr:rowOff>
    </xdr:to>
    <xdr:pic>
      <xdr:nvPicPr>
        <xdr:cNvPr id="13" name="图片 3"/>
        <xdr:cNvPicPr>
          <a:picLocks noChangeAspect="1"/>
        </xdr:cNvPicPr>
      </xdr:nvPicPr>
      <xdr:blipFill>
        <a:blip r:embed="rId1"/>
        <a:stretch>
          <a:fillRect/>
        </a:stretch>
      </xdr:blipFill>
      <xdr:spPr>
        <a:xfrm>
          <a:off x="11130280" y="19772630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9227185" y="20142835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9227185" y="12887325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9227185" y="14747875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9227185" y="11618595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9227185" y="12630785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9227185" y="1097724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922718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9227185" y="20963255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4116685" y="19548475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4116685" y="12757785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4116685" y="14975205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4116685" y="1199134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4116685" y="12487275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4116685" y="1181100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4116685"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4116685" y="20878165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4116685" y="1163066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4116685" y="433387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4116685" y="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857365" y="1263650"/>
          <a:ext cx="9525"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E176"/>
  <sheetViews>
    <sheetView showZeros="0" tabSelected="1" zoomScale="55" zoomScaleNormal="55" topLeftCell="H1" workbookViewId="0">
      <pane ySplit="6" topLeftCell="A79" activePane="bottomLeft" state="frozen"/>
      <selection/>
      <selection pane="bottomLeft" activeCell="U86" sqref="U86"/>
    </sheetView>
  </sheetViews>
  <sheetFormatPr defaultColWidth="9" defaultRowHeight="17.5"/>
  <cols>
    <col min="1" max="1" width="5.84615384615385" style="29" customWidth="1"/>
    <col min="2" max="2" width="13.5692307692308" style="30" customWidth="1"/>
    <col min="3" max="3" width="33.0692307692308" style="30" customWidth="1"/>
    <col min="4" max="4" width="14.0769230769231" style="30" customWidth="1"/>
    <col min="5" max="5" width="13.6923076923077" style="30" customWidth="1"/>
    <col min="6" max="6" width="7.16923076923077" style="30" customWidth="1"/>
    <col min="7" max="7" width="47.4076923076923" style="30" customWidth="1"/>
    <col min="8" max="8" width="101.946153846154" style="31" customWidth="1"/>
    <col min="9" max="9" width="11" style="31" customWidth="1"/>
    <col min="10" max="10" width="12.8538461538462" style="31" customWidth="1"/>
    <col min="11" max="14" width="16.5384615384615" style="32" customWidth="1"/>
    <col min="15" max="15" width="12.3076923076923" style="32" customWidth="1"/>
    <col min="16" max="16" width="13.5384615384615" style="32" customWidth="1"/>
    <col min="17" max="19" width="11" style="30" customWidth="1"/>
    <col min="20" max="21" width="13.5384615384615" style="30" customWidth="1"/>
    <col min="22" max="23" width="10.8538461538462" style="30" customWidth="1"/>
    <col min="24" max="24" width="90.6307692307692" style="148" customWidth="1"/>
    <col min="25" max="25" width="88.8" style="148" customWidth="1"/>
    <col min="26" max="26" width="9.31538461538462" style="33" customWidth="1"/>
    <col min="27" max="27" width="8.46153846153846" style="34" customWidth="1"/>
    <col min="28" max="28" width="15.6153846153846" style="33" customWidth="1"/>
    <col min="29" max="29" width="9" style="35" customWidth="1"/>
    <col min="30" max="30" width="18.3846153846154" style="35" customWidth="1"/>
    <col min="31" max="16384" width="9" style="35"/>
  </cols>
  <sheetData>
    <row r="1" s="61" customFormat="1" ht="84" customHeight="1" spans="1:28">
      <c r="A1" s="37" t="s">
        <v>0</v>
      </c>
      <c r="B1" s="37"/>
      <c r="C1" s="37"/>
      <c r="D1" s="38"/>
      <c r="E1" s="38"/>
      <c r="F1" s="38"/>
      <c r="G1" s="37"/>
      <c r="H1" s="37"/>
      <c r="I1" s="37"/>
      <c r="J1" s="37"/>
      <c r="K1" s="49"/>
      <c r="L1" s="50"/>
      <c r="M1" s="50"/>
      <c r="N1" s="50"/>
      <c r="O1" s="50"/>
      <c r="P1" s="50"/>
      <c r="Q1" s="38"/>
      <c r="R1" s="38"/>
      <c r="S1" s="38"/>
      <c r="T1" s="38"/>
      <c r="U1" s="38"/>
      <c r="V1" s="38"/>
      <c r="W1" s="38"/>
      <c r="X1" s="152"/>
      <c r="Y1" s="152"/>
      <c r="Z1" s="37"/>
      <c r="AA1" s="37"/>
      <c r="AB1" s="37"/>
    </row>
    <row r="2" s="62" customFormat="1" ht="50" customHeight="1" spans="1:28">
      <c r="A2" s="39" t="s">
        <v>1</v>
      </c>
      <c r="B2" s="39"/>
      <c r="C2" s="39"/>
      <c r="D2" s="39"/>
      <c r="E2" s="40"/>
      <c r="F2" s="39"/>
      <c r="G2" s="39"/>
      <c r="H2" s="41"/>
      <c r="I2" s="39"/>
      <c r="J2" s="39"/>
      <c r="K2" s="51"/>
      <c r="L2" s="51"/>
      <c r="M2" s="51"/>
      <c r="N2" s="51"/>
      <c r="O2" s="51"/>
      <c r="P2" s="51"/>
      <c r="Q2" s="39"/>
      <c r="R2" s="39"/>
      <c r="S2" s="39"/>
      <c r="T2" s="39"/>
      <c r="U2" s="39"/>
      <c r="V2" s="39"/>
      <c r="W2" s="39"/>
      <c r="X2" s="41"/>
      <c r="Y2" s="41"/>
      <c r="Z2" s="39"/>
      <c r="AA2" s="39"/>
      <c r="AB2" s="39"/>
    </row>
    <row r="3" s="63" customFormat="1" ht="42" customHeight="1" spans="1:28">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7" t="s">
        <v>14</v>
      </c>
      <c r="X3" s="17" t="s">
        <v>15</v>
      </c>
      <c r="Y3" s="17" t="s">
        <v>16</v>
      </c>
      <c r="Z3" s="10" t="s">
        <v>17</v>
      </c>
      <c r="AA3" s="10" t="s">
        <v>18</v>
      </c>
      <c r="AB3" s="10" t="s">
        <v>19</v>
      </c>
    </row>
    <row r="4" s="63" customFormat="1" ht="42" customHeight="1" spans="1:28">
      <c r="A4" s="10"/>
      <c r="B4" s="10"/>
      <c r="C4" s="10"/>
      <c r="D4" s="10"/>
      <c r="E4" s="10"/>
      <c r="F4" s="10"/>
      <c r="G4" s="10"/>
      <c r="H4" s="10"/>
      <c r="I4" s="10"/>
      <c r="J4" s="10"/>
      <c r="K4" s="16"/>
      <c r="L4" s="16" t="s">
        <v>20</v>
      </c>
      <c r="M4" s="16"/>
      <c r="N4" s="16"/>
      <c r="O4" s="16"/>
      <c r="P4" s="16"/>
      <c r="Q4" s="10"/>
      <c r="R4" s="10"/>
      <c r="S4" s="10"/>
      <c r="T4" s="10" t="s">
        <v>21</v>
      </c>
      <c r="U4" s="10" t="s">
        <v>22</v>
      </c>
      <c r="V4" s="10" t="s">
        <v>23</v>
      </c>
      <c r="W4" s="122"/>
      <c r="X4" s="122"/>
      <c r="Y4" s="122"/>
      <c r="Z4" s="10"/>
      <c r="AA4" s="10"/>
      <c r="AB4" s="10"/>
    </row>
    <row r="5" s="63" customFormat="1" ht="42" customHeight="1" spans="1:28">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22"/>
      <c r="X5" s="122"/>
      <c r="Y5" s="122"/>
      <c r="Z5" s="10"/>
      <c r="AA5" s="10"/>
      <c r="AB5" s="10"/>
    </row>
    <row r="6" s="63" customFormat="1" ht="42" customHeight="1" spans="1:28">
      <c r="A6" s="10"/>
      <c r="B6" s="10"/>
      <c r="C6" s="10"/>
      <c r="D6" s="10"/>
      <c r="E6" s="10"/>
      <c r="F6" s="10"/>
      <c r="G6" s="10"/>
      <c r="H6" s="10"/>
      <c r="I6" s="10"/>
      <c r="J6" s="10"/>
      <c r="K6" s="16"/>
      <c r="L6" s="55"/>
      <c r="M6" s="16" t="s">
        <v>31</v>
      </c>
      <c r="N6" s="16" t="s">
        <v>32</v>
      </c>
      <c r="O6" s="55"/>
      <c r="P6" s="55"/>
      <c r="Q6" s="60"/>
      <c r="R6" s="60"/>
      <c r="S6" s="60"/>
      <c r="T6" s="10"/>
      <c r="U6" s="10"/>
      <c r="V6" s="10"/>
      <c r="W6" s="60"/>
      <c r="X6" s="60"/>
      <c r="Y6" s="60"/>
      <c r="Z6" s="10"/>
      <c r="AA6" s="10"/>
      <c r="AB6" s="10"/>
    </row>
    <row r="7" s="143" customFormat="1" ht="43" customHeight="1" spans="1:28">
      <c r="A7" s="11" t="s">
        <v>33</v>
      </c>
      <c r="B7" s="11"/>
      <c r="C7" s="11"/>
      <c r="D7" s="11"/>
      <c r="E7" s="11"/>
      <c r="F7" s="11"/>
      <c r="G7" s="11"/>
      <c r="H7" s="11">
        <f t="shared" ref="H7:V7" si="0">SUM(H8,H128,H136,H168,H170,H172,H174)</f>
        <v>153</v>
      </c>
      <c r="I7" s="11"/>
      <c r="J7" s="11"/>
      <c r="K7" s="18">
        <f t="shared" si="0"/>
        <v>138006.847395</v>
      </c>
      <c r="L7" s="18">
        <f t="shared" si="0"/>
        <v>137727.847395</v>
      </c>
      <c r="M7" s="18">
        <f t="shared" si="0"/>
        <v>96702.57778</v>
      </c>
      <c r="N7" s="18">
        <f t="shared" si="0"/>
        <v>30854.269615</v>
      </c>
      <c r="O7" s="18">
        <f t="shared" si="0"/>
        <v>5464</v>
      </c>
      <c r="P7" s="18">
        <f t="shared" si="0"/>
        <v>4521</v>
      </c>
      <c r="Q7" s="18">
        <f t="shared" si="0"/>
        <v>101</v>
      </c>
      <c r="R7" s="18">
        <f t="shared" si="0"/>
        <v>85</v>
      </c>
      <c r="S7" s="18">
        <f t="shared" si="0"/>
        <v>0</v>
      </c>
      <c r="T7" s="18">
        <f t="shared" si="0"/>
        <v>0</v>
      </c>
      <c r="U7" s="18">
        <f t="shared" si="0"/>
        <v>279</v>
      </c>
      <c r="V7" s="18">
        <f t="shared" si="0"/>
        <v>0</v>
      </c>
      <c r="W7" s="18"/>
      <c r="X7" s="153"/>
      <c r="Y7" s="153"/>
      <c r="Z7" s="19"/>
      <c r="AA7" s="19"/>
      <c r="AB7" s="19"/>
    </row>
    <row r="8" s="144" customFormat="1" ht="43" customHeight="1" spans="1:28">
      <c r="A8" s="11" t="s">
        <v>34</v>
      </c>
      <c r="B8" s="104" t="s">
        <v>35</v>
      </c>
      <c r="C8" s="105"/>
      <c r="D8" s="106"/>
      <c r="E8" s="11"/>
      <c r="F8" s="11"/>
      <c r="G8" s="11"/>
      <c r="H8" s="11">
        <f>SUBTOTAL(9,H36,H65,H73,H81,H9,H91)</f>
        <v>113</v>
      </c>
      <c r="I8" s="117"/>
      <c r="J8" s="117">
        <f>K8/K7</f>
        <v>0.824630223377765</v>
      </c>
      <c r="K8" s="18">
        <f t="shared" ref="K8:V8" si="1">SUM(K36,K65,K73,K81,K9,K91)</f>
        <v>113804.617395</v>
      </c>
      <c r="L8" s="18">
        <f t="shared" si="1"/>
        <v>113642.737395</v>
      </c>
      <c r="M8" s="18">
        <f t="shared" si="1"/>
        <v>88364.37778</v>
      </c>
      <c r="N8" s="18">
        <f t="shared" si="1"/>
        <v>21481.359615</v>
      </c>
      <c r="O8" s="18">
        <f t="shared" si="1"/>
        <v>0</v>
      </c>
      <c r="P8" s="18">
        <f t="shared" si="1"/>
        <v>3611</v>
      </c>
      <c r="Q8" s="18">
        <f t="shared" si="1"/>
        <v>101</v>
      </c>
      <c r="R8" s="18">
        <f t="shared" si="1"/>
        <v>85</v>
      </c>
      <c r="S8" s="18">
        <f t="shared" si="1"/>
        <v>0</v>
      </c>
      <c r="T8" s="18">
        <f t="shared" si="1"/>
        <v>0</v>
      </c>
      <c r="U8" s="18">
        <f t="shared" si="1"/>
        <v>161.88</v>
      </c>
      <c r="V8" s="18">
        <f t="shared" si="1"/>
        <v>0</v>
      </c>
      <c r="W8" s="11"/>
      <c r="X8" s="150"/>
      <c r="Y8" s="150"/>
      <c r="Z8" s="18">
        <f t="shared" ref="Z8:AB8" si="2">SUM(Z36,Z65,Z73,Z81,Z9,Z91)</f>
        <v>0</v>
      </c>
      <c r="AA8" s="18">
        <f t="shared" si="2"/>
        <v>0</v>
      </c>
      <c r="AB8" s="123">
        <f t="shared" si="2"/>
        <v>0</v>
      </c>
    </row>
    <row r="9" s="144" customFormat="1" ht="43" customHeight="1" spans="1:28">
      <c r="A9" s="107" t="s">
        <v>36</v>
      </c>
      <c r="B9" s="108"/>
      <c r="C9" s="109"/>
      <c r="D9" s="106"/>
      <c r="E9" s="11"/>
      <c r="F9" s="11"/>
      <c r="G9" s="11"/>
      <c r="H9" s="11">
        <v>26</v>
      </c>
      <c r="I9" s="117"/>
      <c r="J9" s="117">
        <f>K9/K7</f>
        <v>0.207269290871696</v>
      </c>
      <c r="K9" s="18">
        <f t="shared" ref="K9:V9" si="3">SUM(K10:K35)</f>
        <v>28604.581395</v>
      </c>
      <c r="L9" s="18">
        <f t="shared" si="3"/>
        <v>28604.581395</v>
      </c>
      <c r="M9" s="18">
        <f t="shared" si="3"/>
        <v>18361.97178</v>
      </c>
      <c r="N9" s="18">
        <f t="shared" si="3"/>
        <v>10242.609615</v>
      </c>
      <c r="O9" s="18">
        <f t="shared" si="3"/>
        <v>0</v>
      </c>
      <c r="P9" s="18">
        <f t="shared" si="3"/>
        <v>0</v>
      </c>
      <c r="Q9" s="18">
        <f t="shared" si="3"/>
        <v>0</v>
      </c>
      <c r="R9" s="18">
        <f t="shared" si="3"/>
        <v>0</v>
      </c>
      <c r="S9" s="18">
        <f t="shared" si="3"/>
        <v>0</v>
      </c>
      <c r="T9" s="18">
        <f t="shared" si="3"/>
        <v>0</v>
      </c>
      <c r="U9" s="18">
        <f t="shared" si="3"/>
        <v>0</v>
      </c>
      <c r="V9" s="18">
        <f t="shared" si="3"/>
        <v>0</v>
      </c>
      <c r="W9" s="11"/>
      <c r="X9" s="150"/>
      <c r="Y9" s="150"/>
      <c r="Z9" s="123"/>
      <c r="AA9" s="123"/>
      <c r="AB9" s="123"/>
    </row>
    <row r="10" s="145" customFormat="1" ht="163" customHeight="1" spans="1:30">
      <c r="A10" s="12">
        <v>1</v>
      </c>
      <c r="B10" s="12" t="s">
        <v>37</v>
      </c>
      <c r="C10" s="12" t="s">
        <v>38</v>
      </c>
      <c r="D10" s="12" t="s">
        <v>35</v>
      </c>
      <c r="E10" s="12" t="s">
        <v>39</v>
      </c>
      <c r="F10" s="12" t="s">
        <v>40</v>
      </c>
      <c r="G10" s="12" t="s">
        <v>41</v>
      </c>
      <c r="H10" s="149" t="s">
        <v>42</v>
      </c>
      <c r="I10" s="12" t="s">
        <v>43</v>
      </c>
      <c r="J10" s="12">
        <v>13988.5</v>
      </c>
      <c r="K10" s="20">
        <f t="shared" ref="K10:K36" si="4">SUM(L10,T10,U10,V10)</f>
        <v>559.54</v>
      </c>
      <c r="L10" s="20">
        <f t="shared" ref="L10:L36" si="5">SUM(M10:S10)</f>
        <v>559.54</v>
      </c>
      <c r="M10" s="20">
        <f>J10*0.04</f>
        <v>559.54</v>
      </c>
      <c r="N10" s="20"/>
      <c r="O10" s="20"/>
      <c r="P10" s="20"/>
      <c r="Q10" s="12"/>
      <c r="R10" s="12"/>
      <c r="S10" s="12"/>
      <c r="T10" s="12"/>
      <c r="U10" s="12"/>
      <c r="V10" s="12"/>
      <c r="W10" s="12">
        <v>15728</v>
      </c>
      <c r="X10" s="149" t="s">
        <v>44</v>
      </c>
      <c r="Y10" s="149"/>
      <c r="Z10" s="12" t="s">
        <v>45</v>
      </c>
      <c r="AA10" s="12" t="s">
        <v>46</v>
      </c>
      <c r="AB10" s="12" t="s">
        <v>47</v>
      </c>
      <c r="AC10" s="145">
        <v>3303</v>
      </c>
      <c r="AD10" s="154">
        <f t="shared" ref="AD10:AD34" si="6">K10/AC10</f>
        <v>0.16940357250984</v>
      </c>
    </row>
    <row r="11" s="145" customFormat="1" ht="163" customHeight="1" spans="1:30">
      <c r="A11" s="12">
        <v>2</v>
      </c>
      <c r="B11" s="12" t="s">
        <v>48</v>
      </c>
      <c r="C11" s="12" t="s">
        <v>49</v>
      </c>
      <c r="D11" s="12" t="s">
        <v>35</v>
      </c>
      <c r="E11" s="12" t="s">
        <v>39</v>
      </c>
      <c r="F11" s="12" t="s">
        <v>40</v>
      </c>
      <c r="G11" s="12" t="s">
        <v>50</v>
      </c>
      <c r="H11" s="149" t="s">
        <v>51</v>
      </c>
      <c r="I11" s="12" t="s">
        <v>43</v>
      </c>
      <c r="J11" s="12">
        <v>21835.6</v>
      </c>
      <c r="K11" s="20">
        <f t="shared" si="4"/>
        <v>873.424</v>
      </c>
      <c r="L11" s="20">
        <f t="shared" si="5"/>
        <v>873.424</v>
      </c>
      <c r="M11" s="20">
        <f>J11*0.04</f>
        <v>873.424</v>
      </c>
      <c r="N11" s="20"/>
      <c r="O11" s="20"/>
      <c r="P11" s="20"/>
      <c r="Q11" s="12"/>
      <c r="R11" s="12"/>
      <c r="S11" s="12"/>
      <c r="T11" s="12"/>
      <c r="U11" s="12"/>
      <c r="V11" s="12"/>
      <c r="W11" s="12">
        <v>18548</v>
      </c>
      <c r="X11" s="149" t="s">
        <v>52</v>
      </c>
      <c r="Y11" s="149"/>
      <c r="Z11" s="12" t="s">
        <v>45</v>
      </c>
      <c r="AA11" s="12" t="s">
        <v>46</v>
      </c>
      <c r="AB11" s="12" t="s">
        <v>47</v>
      </c>
      <c r="AC11" s="145">
        <v>4606</v>
      </c>
      <c r="AD11" s="154">
        <f t="shared" si="6"/>
        <v>0.189627442466348</v>
      </c>
    </row>
    <row r="12" s="145" customFormat="1" ht="227" customHeight="1" spans="1:30">
      <c r="A12" s="12">
        <v>3</v>
      </c>
      <c r="B12" s="12" t="s">
        <v>53</v>
      </c>
      <c r="C12" s="12" t="s">
        <v>54</v>
      </c>
      <c r="D12" s="12" t="s">
        <v>35</v>
      </c>
      <c r="E12" s="12" t="s">
        <v>39</v>
      </c>
      <c r="F12" s="12" t="s">
        <v>40</v>
      </c>
      <c r="G12" s="12" t="s">
        <v>55</v>
      </c>
      <c r="H12" s="149" t="s">
        <v>56</v>
      </c>
      <c r="I12" s="12" t="s">
        <v>43</v>
      </c>
      <c r="J12" s="12">
        <v>103024.24</v>
      </c>
      <c r="K12" s="20">
        <f t="shared" si="4"/>
        <v>978.73028</v>
      </c>
      <c r="L12" s="20">
        <f t="shared" si="5"/>
        <v>978.73028</v>
      </c>
      <c r="M12" s="20">
        <f>J12*0.0095</f>
        <v>978.73028</v>
      </c>
      <c r="N12" s="20"/>
      <c r="O12" s="20"/>
      <c r="P12" s="20"/>
      <c r="Q12" s="12"/>
      <c r="R12" s="12"/>
      <c r="S12" s="12"/>
      <c r="T12" s="12"/>
      <c r="U12" s="12"/>
      <c r="V12" s="12"/>
      <c r="W12" s="12">
        <v>53780</v>
      </c>
      <c r="X12" s="149" t="s">
        <v>57</v>
      </c>
      <c r="Y12" s="149"/>
      <c r="Z12" s="12" t="s">
        <v>45</v>
      </c>
      <c r="AA12" s="12" t="s">
        <v>46</v>
      </c>
      <c r="AB12" s="12" t="s">
        <v>47</v>
      </c>
      <c r="AC12" s="145">
        <v>13968</v>
      </c>
      <c r="AD12" s="154">
        <f t="shared" si="6"/>
        <v>0.0700694644902635</v>
      </c>
    </row>
    <row r="13" s="145" customFormat="1" ht="104" customHeight="1" spans="1:31">
      <c r="A13" s="12">
        <v>4</v>
      </c>
      <c r="B13" s="12" t="s">
        <v>58</v>
      </c>
      <c r="C13" s="12" t="s">
        <v>59</v>
      </c>
      <c r="D13" s="12" t="s">
        <v>35</v>
      </c>
      <c r="E13" s="12" t="s">
        <v>39</v>
      </c>
      <c r="F13" s="12" t="s">
        <v>40</v>
      </c>
      <c r="G13" s="12" t="s">
        <v>60</v>
      </c>
      <c r="H13" s="149" t="s">
        <v>61</v>
      </c>
      <c r="I13" s="12" t="s">
        <v>43</v>
      </c>
      <c r="J13" s="12">
        <v>14029.47</v>
      </c>
      <c r="K13" s="20">
        <f t="shared" si="4"/>
        <v>133.279965</v>
      </c>
      <c r="L13" s="20">
        <f t="shared" si="5"/>
        <v>133.279965</v>
      </c>
      <c r="M13" s="20"/>
      <c r="N13" s="20">
        <f>J13*95/10000</f>
        <v>133.279965</v>
      </c>
      <c r="O13" s="20"/>
      <c r="P13" s="20"/>
      <c r="Q13" s="12"/>
      <c r="R13" s="12"/>
      <c r="S13" s="12"/>
      <c r="T13" s="12"/>
      <c r="U13" s="12"/>
      <c r="V13" s="12"/>
      <c r="W13" s="12">
        <v>6696</v>
      </c>
      <c r="X13" s="149" t="s">
        <v>62</v>
      </c>
      <c r="Y13" s="149"/>
      <c r="Z13" s="12" t="s">
        <v>45</v>
      </c>
      <c r="AA13" s="12" t="s">
        <v>46</v>
      </c>
      <c r="AB13" s="12" t="s">
        <v>47</v>
      </c>
      <c r="AC13" s="145">
        <v>2528</v>
      </c>
      <c r="AD13" s="154">
        <f t="shared" si="6"/>
        <v>0.0527215051424051</v>
      </c>
      <c r="AE13" s="145" t="s">
        <v>63</v>
      </c>
    </row>
    <row r="14" s="145" customFormat="1" ht="209" customHeight="1" spans="1:31">
      <c r="A14" s="12">
        <v>5</v>
      </c>
      <c r="B14" s="12" t="s">
        <v>64</v>
      </c>
      <c r="C14" s="12" t="s">
        <v>65</v>
      </c>
      <c r="D14" s="12" t="s">
        <v>35</v>
      </c>
      <c r="E14" s="12" t="s">
        <v>39</v>
      </c>
      <c r="F14" s="12" t="s">
        <v>40</v>
      </c>
      <c r="G14" s="12" t="s">
        <v>66</v>
      </c>
      <c r="H14" s="149" t="s">
        <v>67</v>
      </c>
      <c r="I14" s="12" t="s">
        <v>43</v>
      </c>
      <c r="J14" s="12">
        <v>176653.98</v>
      </c>
      <c r="K14" s="20">
        <f t="shared" si="4"/>
        <v>4416.3495</v>
      </c>
      <c r="L14" s="20">
        <f t="shared" si="5"/>
        <v>4416.3495</v>
      </c>
      <c r="M14" s="20">
        <f>J14*0.025</f>
        <v>4416.3495</v>
      </c>
      <c r="N14" s="20"/>
      <c r="O14" s="20"/>
      <c r="P14" s="20"/>
      <c r="Q14" s="12"/>
      <c r="R14" s="12"/>
      <c r="S14" s="12"/>
      <c r="T14" s="12"/>
      <c r="U14" s="12"/>
      <c r="V14" s="12"/>
      <c r="W14" s="12">
        <v>62668</v>
      </c>
      <c r="X14" s="149" t="s">
        <v>68</v>
      </c>
      <c r="Y14" s="149"/>
      <c r="Z14" s="12" t="s">
        <v>45</v>
      </c>
      <c r="AA14" s="12" t="s">
        <v>46</v>
      </c>
      <c r="AB14" s="12" t="s">
        <v>47</v>
      </c>
      <c r="AC14" s="145">
        <v>23112</v>
      </c>
      <c r="AD14" s="154">
        <f t="shared" si="6"/>
        <v>0.191084696261682</v>
      </c>
      <c r="AE14" s="145" t="s">
        <v>63</v>
      </c>
    </row>
    <row r="15" s="145" customFormat="1" ht="200" customHeight="1" spans="1:31">
      <c r="A15" s="12">
        <v>6</v>
      </c>
      <c r="B15" s="12" t="s">
        <v>69</v>
      </c>
      <c r="C15" s="12" t="s">
        <v>70</v>
      </c>
      <c r="D15" s="12" t="s">
        <v>35</v>
      </c>
      <c r="E15" s="12" t="s">
        <v>71</v>
      </c>
      <c r="F15" s="12" t="s">
        <v>40</v>
      </c>
      <c r="G15" s="12" t="s">
        <v>72</v>
      </c>
      <c r="H15" s="149" t="s">
        <v>73</v>
      </c>
      <c r="I15" s="12" t="s">
        <v>43</v>
      </c>
      <c r="J15" s="12">
        <v>173056.01</v>
      </c>
      <c r="K15" s="20">
        <f t="shared" si="4"/>
        <v>692.22404</v>
      </c>
      <c r="L15" s="20">
        <f t="shared" si="5"/>
        <v>692.22404</v>
      </c>
      <c r="M15" s="20"/>
      <c r="N15" s="20">
        <f>J15*0.004</f>
        <v>692.22404</v>
      </c>
      <c r="O15" s="20"/>
      <c r="P15" s="20"/>
      <c r="Q15" s="12"/>
      <c r="R15" s="12"/>
      <c r="S15" s="12"/>
      <c r="T15" s="12"/>
      <c r="U15" s="12"/>
      <c r="V15" s="12"/>
      <c r="W15" s="12">
        <v>63492</v>
      </c>
      <c r="X15" s="149" t="s">
        <v>74</v>
      </c>
      <c r="Y15" s="149"/>
      <c r="Z15" s="12" t="s">
        <v>45</v>
      </c>
      <c r="AA15" s="12" t="s">
        <v>46</v>
      </c>
      <c r="AB15" s="12" t="s">
        <v>47</v>
      </c>
      <c r="AC15" s="145">
        <v>22050</v>
      </c>
      <c r="AD15" s="154">
        <f t="shared" si="6"/>
        <v>0.0313933804988662</v>
      </c>
      <c r="AE15" s="145" t="s">
        <v>63</v>
      </c>
    </row>
    <row r="16" s="145" customFormat="1" ht="181" customHeight="1" spans="1:30">
      <c r="A16" s="12">
        <v>7</v>
      </c>
      <c r="B16" s="12" t="s">
        <v>75</v>
      </c>
      <c r="C16" s="12" t="s">
        <v>76</v>
      </c>
      <c r="D16" s="12" t="s">
        <v>35</v>
      </c>
      <c r="E16" s="12" t="s">
        <v>39</v>
      </c>
      <c r="F16" s="12" t="s">
        <v>40</v>
      </c>
      <c r="G16" s="12" t="s">
        <v>77</v>
      </c>
      <c r="H16" s="149" t="s">
        <v>78</v>
      </c>
      <c r="I16" s="12" t="s">
        <v>43</v>
      </c>
      <c r="J16" s="12">
        <v>96940.33</v>
      </c>
      <c r="K16" s="20">
        <f t="shared" si="4"/>
        <v>1454.10495</v>
      </c>
      <c r="L16" s="20">
        <f t="shared" si="5"/>
        <v>1454.10495</v>
      </c>
      <c r="M16" s="20"/>
      <c r="N16" s="20">
        <f>J16*0.015</f>
        <v>1454.10495</v>
      </c>
      <c r="O16" s="20"/>
      <c r="P16" s="20"/>
      <c r="Q16" s="12"/>
      <c r="R16" s="12"/>
      <c r="S16" s="12"/>
      <c r="T16" s="12"/>
      <c r="U16" s="12"/>
      <c r="V16" s="12"/>
      <c r="W16" s="12">
        <v>46116</v>
      </c>
      <c r="X16" s="149" t="s">
        <v>79</v>
      </c>
      <c r="Y16" s="149"/>
      <c r="Z16" s="12" t="s">
        <v>80</v>
      </c>
      <c r="AA16" s="12" t="s">
        <v>81</v>
      </c>
      <c r="AB16" s="12" t="s">
        <v>82</v>
      </c>
      <c r="AC16" s="145">
        <v>12928</v>
      </c>
      <c r="AD16" s="154">
        <f t="shared" si="6"/>
        <v>0.112477177444307</v>
      </c>
    </row>
    <row r="17" s="145" customFormat="1" ht="184" customHeight="1" spans="1:30">
      <c r="A17" s="12">
        <v>8</v>
      </c>
      <c r="B17" s="12" t="s">
        <v>83</v>
      </c>
      <c r="C17" s="12" t="s">
        <v>84</v>
      </c>
      <c r="D17" s="12" t="s">
        <v>35</v>
      </c>
      <c r="E17" s="12" t="s">
        <v>39</v>
      </c>
      <c r="F17" s="12" t="s">
        <v>40</v>
      </c>
      <c r="G17" s="12" t="s">
        <v>85</v>
      </c>
      <c r="H17" s="149" t="s">
        <v>86</v>
      </c>
      <c r="I17" s="12" t="s">
        <v>43</v>
      </c>
      <c r="J17" s="12">
        <v>78745.62</v>
      </c>
      <c r="K17" s="20">
        <f t="shared" si="4"/>
        <v>1181.1843</v>
      </c>
      <c r="L17" s="20">
        <f t="shared" si="5"/>
        <v>1181.1843</v>
      </c>
      <c r="M17" s="20"/>
      <c r="N17" s="20">
        <f>J17*0.015</f>
        <v>1181.1843</v>
      </c>
      <c r="O17" s="20"/>
      <c r="P17" s="20"/>
      <c r="Q17" s="12"/>
      <c r="R17" s="12"/>
      <c r="S17" s="12"/>
      <c r="T17" s="12"/>
      <c r="U17" s="12"/>
      <c r="V17" s="12"/>
      <c r="W17" s="12">
        <v>37812</v>
      </c>
      <c r="X17" s="149" t="s">
        <v>87</v>
      </c>
      <c r="Y17" s="149"/>
      <c r="Z17" s="12" t="s">
        <v>80</v>
      </c>
      <c r="AA17" s="12" t="s">
        <v>81</v>
      </c>
      <c r="AB17" s="12" t="s">
        <v>82</v>
      </c>
      <c r="AC17" s="145">
        <v>10481</v>
      </c>
      <c r="AD17" s="154">
        <f t="shared" si="6"/>
        <v>0.112697671977865</v>
      </c>
    </row>
    <row r="18" s="145" customFormat="1" ht="178" customHeight="1" spans="1:31">
      <c r="A18" s="12">
        <v>9</v>
      </c>
      <c r="B18" s="12" t="s">
        <v>88</v>
      </c>
      <c r="C18" s="12" t="s">
        <v>89</v>
      </c>
      <c r="D18" s="12" t="s">
        <v>35</v>
      </c>
      <c r="E18" s="12" t="s">
        <v>39</v>
      </c>
      <c r="F18" s="12" t="s">
        <v>40</v>
      </c>
      <c r="G18" s="12" t="s">
        <v>90</v>
      </c>
      <c r="H18" s="149" t="s">
        <v>91</v>
      </c>
      <c r="I18" s="12" t="s">
        <v>43</v>
      </c>
      <c r="J18" s="12">
        <v>19058.82</v>
      </c>
      <c r="K18" s="20">
        <f t="shared" si="4"/>
        <v>57.17646</v>
      </c>
      <c r="L18" s="20">
        <f t="shared" si="5"/>
        <v>57.17646</v>
      </c>
      <c r="M18" s="20"/>
      <c r="N18" s="20">
        <f>J18*0.003</f>
        <v>57.17646</v>
      </c>
      <c r="O18" s="20"/>
      <c r="P18" s="20"/>
      <c r="Q18" s="12"/>
      <c r="R18" s="12"/>
      <c r="S18" s="12"/>
      <c r="T18" s="12"/>
      <c r="U18" s="12"/>
      <c r="V18" s="12"/>
      <c r="W18" s="12">
        <v>19544</v>
      </c>
      <c r="X18" s="149" t="s">
        <v>92</v>
      </c>
      <c r="Y18" s="149"/>
      <c r="Z18" s="12" t="s">
        <v>80</v>
      </c>
      <c r="AA18" s="12" t="s">
        <v>81</v>
      </c>
      <c r="AB18" s="12" t="s">
        <v>82</v>
      </c>
      <c r="AC18" s="145">
        <v>2746</v>
      </c>
      <c r="AD18" s="154">
        <f t="shared" si="6"/>
        <v>0.0208217261471231</v>
      </c>
      <c r="AE18" s="145" t="s">
        <v>63</v>
      </c>
    </row>
    <row r="19" s="145" customFormat="1" ht="122" customHeight="1" spans="1:31">
      <c r="A19" s="12">
        <v>10</v>
      </c>
      <c r="B19" s="12" t="s">
        <v>93</v>
      </c>
      <c r="C19" s="12" t="s">
        <v>94</v>
      </c>
      <c r="D19" s="12" t="s">
        <v>35</v>
      </c>
      <c r="E19" s="12" t="s">
        <v>95</v>
      </c>
      <c r="F19" s="12" t="s">
        <v>40</v>
      </c>
      <c r="G19" s="12" t="s">
        <v>96</v>
      </c>
      <c r="H19" s="149" t="s">
        <v>97</v>
      </c>
      <c r="I19" s="12" t="s">
        <v>43</v>
      </c>
      <c r="J19" s="12">
        <v>4000.85</v>
      </c>
      <c r="K19" s="20">
        <f t="shared" si="4"/>
        <v>40.0085</v>
      </c>
      <c r="L19" s="20">
        <f t="shared" si="5"/>
        <v>40.0085</v>
      </c>
      <c r="M19" s="20"/>
      <c r="N19" s="20">
        <f>J19*0.01</f>
        <v>40.0085</v>
      </c>
      <c r="O19" s="20"/>
      <c r="P19" s="20"/>
      <c r="Q19" s="12"/>
      <c r="R19" s="12"/>
      <c r="S19" s="12"/>
      <c r="T19" s="12"/>
      <c r="U19" s="12"/>
      <c r="V19" s="12"/>
      <c r="W19" s="12">
        <v>2432</v>
      </c>
      <c r="X19" s="149" t="s">
        <v>98</v>
      </c>
      <c r="Y19" s="149"/>
      <c r="Z19" s="12" t="s">
        <v>80</v>
      </c>
      <c r="AA19" s="12" t="s">
        <v>81</v>
      </c>
      <c r="AB19" s="12" t="s">
        <v>82</v>
      </c>
      <c r="AC19" s="145">
        <v>464</v>
      </c>
      <c r="AD19" s="154">
        <f t="shared" si="6"/>
        <v>0.0862252155172414</v>
      </c>
      <c r="AE19" s="145" t="s">
        <v>63</v>
      </c>
    </row>
    <row r="20" s="145" customFormat="1" ht="134" customHeight="1" spans="1:31">
      <c r="A20" s="12">
        <v>11</v>
      </c>
      <c r="B20" s="12" t="s">
        <v>99</v>
      </c>
      <c r="C20" s="12" t="s">
        <v>100</v>
      </c>
      <c r="D20" s="12" t="s">
        <v>35</v>
      </c>
      <c r="E20" s="12" t="s">
        <v>39</v>
      </c>
      <c r="F20" s="12" t="s">
        <v>40</v>
      </c>
      <c r="G20" s="12" t="s">
        <v>101</v>
      </c>
      <c r="H20" s="149" t="s">
        <v>102</v>
      </c>
      <c r="I20" s="12" t="s">
        <v>43</v>
      </c>
      <c r="J20" s="12">
        <v>1823.68</v>
      </c>
      <c r="K20" s="20">
        <f t="shared" si="4"/>
        <v>82.0656</v>
      </c>
      <c r="L20" s="20">
        <f t="shared" si="5"/>
        <v>82.0656</v>
      </c>
      <c r="M20" s="20"/>
      <c r="N20" s="20">
        <f>J20*0.045</f>
        <v>82.0656</v>
      </c>
      <c r="O20" s="20"/>
      <c r="P20" s="20"/>
      <c r="Q20" s="12"/>
      <c r="R20" s="12"/>
      <c r="S20" s="12"/>
      <c r="T20" s="12"/>
      <c r="U20" s="12"/>
      <c r="V20" s="12"/>
      <c r="W20" s="12">
        <v>15000</v>
      </c>
      <c r="X20" s="149" t="s">
        <v>103</v>
      </c>
      <c r="Y20" s="149"/>
      <c r="Z20" s="12" t="s">
        <v>80</v>
      </c>
      <c r="AA20" s="12" t="s">
        <v>81</v>
      </c>
      <c r="AB20" s="12" t="s">
        <v>104</v>
      </c>
      <c r="AC20" s="145">
        <v>1609</v>
      </c>
      <c r="AD20" s="154">
        <f t="shared" si="6"/>
        <v>0.0510041019266625</v>
      </c>
      <c r="AE20" s="145" t="s">
        <v>63</v>
      </c>
    </row>
    <row r="21" s="145" customFormat="1" ht="144" customHeight="1" spans="1:31">
      <c r="A21" s="12">
        <v>12</v>
      </c>
      <c r="B21" s="12" t="s">
        <v>105</v>
      </c>
      <c r="C21" s="12" t="s">
        <v>106</v>
      </c>
      <c r="D21" s="12" t="s">
        <v>35</v>
      </c>
      <c r="E21" s="12" t="s">
        <v>39</v>
      </c>
      <c r="F21" s="12" t="s">
        <v>40</v>
      </c>
      <c r="G21" s="12" t="s">
        <v>107</v>
      </c>
      <c r="H21" s="149" t="s">
        <v>108</v>
      </c>
      <c r="I21" s="12" t="s">
        <v>43</v>
      </c>
      <c r="J21" s="12">
        <v>710.35</v>
      </c>
      <c r="K21" s="20">
        <f t="shared" si="4"/>
        <v>21.3105</v>
      </c>
      <c r="L21" s="20">
        <f t="shared" si="5"/>
        <v>21.3105</v>
      </c>
      <c r="M21" s="20"/>
      <c r="N21" s="20">
        <f>J21*0.03</f>
        <v>21.3105</v>
      </c>
      <c r="O21" s="20"/>
      <c r="P21" s="20"/>
      <c r="Q21" s="12"/>
      <c r="R21" s="12"/>
      <c r="S21" s="12"/>
      <c r="T21" s="12"/>
      <c r="U21" s="12"/>
      <c r="V21" s="12"/>
      <c r="W21" s="12">
        <v>4820</v>
      </c>
      <c r="X21" s="149" t="s">
        <v>109</v>
      </c>
      <c r="Y21" s="149"/>
      <c r="Z21" s="12" t="s">
        <v>80</v>
      </c>
      <c r="AA21" s="12" t="s">
        <v>81</v>
      </c>
      <c r="AB21" s="155" t="s">
        <v>104</v>
      </c>
      <c r="AC21" s="145">
        <v>967</v>
      </c>
      <c r="AD21" s="154">
        <f t="shared" si="6"/>
        <v>0.0220377456049638</v>
      </c>
      <c r="AE21" s="145" t="s">
        <v>63</v>
      </c>
    </row>
    <row r="22" s="145" customFormat="1" ht="184" customHeight="1" spans="1:31">
      <c r="A22" s="12">
        <v>13</v>
      </c>
      <c r="B22" s="12" t="s">
        <v>110</v>
      </c>
      <c r="C22" s="12" t="s">
        <v>111</v>
      </c>
      <c r="D22" s="12" t="s">
        <v>35</v>
      </c>
      <c r="E22" s="12" t="s">
        <v>39</v>
      </c>
      <c r="F22" s="12" t="s">
        <v>40</v>
      </c>
      <c r="G22" s="12" t="s">
        <v>112</v>
      </c>
      <c r="H22" s="149" t="s">
        <v>113</v>
      </c>
      <c r="I22" s="12" t="s">
        <v>43</v>
      </c>
      <c r="J22" s="12">
        <v>6428.98</v>
      </c>
      <c r="K22" s="20">
        <f t="shared" si="4"/>
        <v>642.898</v>
      </c>
      <c r="L22" s="20">
        <f t="shared" si="5"/>
        <v>642.898</v>
      </c>
      <c r="M22" s="20">
        <f>J22*0.1</f>
        <v>642.898</v>
      </c>
      <c r="N22" s="20"/>
      <c r="O22" s="20"/>
      <c r="P22" s="20"/>
      <c r="Q22" s="12"/>
      <c r="R22" s="12"/>
      <c r="S22" s="12"/>
      <c r="T22" s="12"/>
      <c r="U22" s="12"/>
      <c r="V22" s="12"/>
      <c r="W22" s="12">
        <v>56360</v>
      </c>
      <c r="X22" s="149" t="s">
        <v>114</v>
      </c>
      <c r="Y22" s="149"/>
      <c r="Z22" s="12" t="s">
        <v>80</v>
      </c>
      <c r="AA22" s="12" t="s">
        <v>81</v>
      </c>
      <c r="AB22" s="155" t="s">
        <v>104</v>
      </c>
      <c r="AC22" s="145">
        <v>13901</v>
      </c>
      <c r="AD22" s="154">
        <f t="shared" si="6"/>
        <v>0.0462483274584562</v>
      </c>
      <c r="AE22" s="145" t="s">
        <v>63</v>
      </c>
    </row>
    <row r="23" s="145" customFormat="1" ht="173" customHeight="1" spans="1:31">
      <c r="A23" s="12">
        <v>14</v>
      </c>
      <c r="B23" s="12" t="s">
        <v>115</v>
      </c>
      <c r="C23" s="12" t="s">
        <v>116</v>
      </c>
      <c r="D23" s="12" t="s">
        <v>35</v>
      </c>
      <c r="E23" s="12" t="s">
        <v>71</v>
      </c>
      <c r="F23" s="12" t="s">
        <v>40</v>
      </c>
      <c r="G23" s="12" t="s">
        <v>117</v>
      </c>
      <c r="H23" s="149" t="s">
        <v>118</v>
      </c>
      <c r="I23" s="12" t="s">
        <v>119</v>
      </c>
      <c r="J23" s="12">
        <v>9930</v>
      </c>
      <c r="K23" s="20">
        <f t="shared" si="4"/>
        <v>3972</v>
      </c>
      <c r="L23" s="20">
        <f t="shared" si="5"/>
        <v>3972</v>
      </c>
      <c r="M23" s="20"/>
      <c r="N23" s="20">
        <f>J23*0.4</f>
        <v>3972</v>
      </c>
      <c r="O23" s="20"/>
      <c r="P23" s="20"/>
      <c r="Q23" s="12"/>
      <c r="R23" s="12"/>
      <c r="S23" s="12"/>
      <c r="T23" s="12"/>
      <c r="U23" s="12"/>
      <c r="V23" s="12"/>
      <c r="W23" s="12">
        <v>17052</v>
      </c>
      <c r="X23" s="149" t="s">
        <v>120</v>
      </c>
      <c r="Y23" s="149"/>
      <c r="Z23" s="12" t="s">
        <v>121</v>
      </c>
      <c r="AA23" s="156" t="s">
        <v>122</v>
      </c>
      <c r="AB23" s="155" t="s">
        <v>123</v>
      </c>
      <c r="AC23" s="145">
        <v>6179</v>
      </c>
      <c r="AD23" s="154">
        <f t="shared" ref="AD23:AD34" si="7">K23/AC23</f>
        <v>0.642822463181745</v>
      </c>
      <c r="AE23" s="145" t="s">
        <v>63</v>
      </c>
    </row>
    <row r="24" s="145" customFormat="1" ht="177" customHeight="1" spans="1:31">
      <c r="A24" s="12">
        <v>15</v>
      </c>
      <c r="B24" s="12" t="s">
        <v>124</v>
      </c>
      <c r="C24" s="12" t="s">
        <v>125</v>
      </c>
      <c r="D24" s="12" t="s">
        <v>35</v>
      </c>
      <c r="E24" s="12" t="s">
        <v>71</v>
      </c>
      <c r="F24" s="12" t="s">
        <v>40</v>
      </c>
      <c r="G24" s="12" t="s">
        <v>126</v>
      </c>
      <c r="H24" s="149" t="s">
        <v>127</v>
      </c>
      <c r="I24" s="12" t="s">
        <v>128</v>
      </c>
      <c r="J24" s="12">
        <v>40371</v>
      </c>
      <c r="K24" s="20">
        <f t="shared" si="4"/>
        <v>1614.84</v>
      </c>
      <c r="L24" s="20">
        <f t="shared" si="5"/>
        <v>1614.84</v>
      </c>
      <c r="M24" s="20"/>
      <c r="N24" s="20">
        <f>J24*0.04</f>
        <v>1614.84</v>
      </c>
      <c r="O24" s="20"/>
      <c r="P24" s="20"/>
      <c r="Q24" s="12"/>
      <c r="R24" s="12"/>
      <c r="S24" s="12"/>
      <c r="T24" s="12"/>
      <c r="U24" s="12"/>
      <c r="V24" s="12"/>
      <c r="W24" s="12">
        <v>20052</v>
      </c>
      <c r="X24" s="149" t="s">
        <v>129</v>
      </c>
      <c r="Y24" s="149"/>
      <c r="Z24" s="12" t="s">
        <v>121</v>
      </c>
      <c r="AA24" s="156" t="s">
        <v>122</v>
      </c>
      <c r="AB24" s="155" t="s">
        <v>123</v>
      </c>
      <c r="AC24" s="145">
        <v>6536</v>
      </c>
      <c r="AD24" s="154">
        <f t="shared" si="7"/>
        <v>0.247068543451652</v>
      </c>
      <c r="AE24" s="145" t="s">
        <v>63</v>
      </c>
    </row>
    <row r="25" s="145" customFormat="1" ht="187" customHeight="1" spans="1:31">
      <c r="A25" s="12">
        <v>16</v>
      </c>
      <c r="B25" s="12" t="s">
        <v>130</v>
      </c>
      <c r="C25" s="12" t="s">
        <v>131</v>
      </c>
      <c r="D25" s="12" t="s">
        <v>35</v>
      </c>
      <c r="E25" s="12" t="s">
        <v>71</v>
      </c>
      <c r="F25" s="12" t="s">
        <v>40</v>
      </c>
      <c r="G25" s="12" t="s">
        <v>132</v>
      </c>
      <c r="H25" s="149" t="s">
        <v>133</v>
      </c>
      <c r="I25" s="12" t="s">
        <v>119</v>
      </c>
      <c r="J25" s="12">
        <v>20253</v>
      </c>
      <c r="K25" s="20">
        <f t="shared" si="4"/>
        <v>6075.9</v>
      </c>
      <c r="L25" s="20">
        <f t="shared" si="5"/>
        <v>6075.9</v>
      </c>
      <c r="M25" s="20">
        <f>J25*0.3</f>
        <v>6075.9</v>
      </c>
      <c r="N25" s="20"/>
      <c r="O25" s="20"/>
      <c r="P25" s="20"/>
      <c r="Q25" s="12"/>
      <c r="R25" s="12"/>
      <c r="S25" s="12"/>
      <c r="T25" s="12"/>
      <c r="U25" s="12"/>
      <c r="V25" s="12"/>
      <c r="W25" s="12">
        <v>39960</v>
      </c>
      <c r="X25" s="149" t="s">
        <v>134</v>
      </c>
      <c r="Y25" s="149"/>
      <c r="Z25" s="12" t="s">
        <v>121</v>
      </c>
      <c r="AA25" s="156" t="s">
        <v>122</v>
      </c>
      <c r="AB25" s="155" t="s">
        <v>123</v>
      </c>
      <c r="AC25" s="145">
        <v>13011</v>
      </c>
      <c r="AD25" s="154">
        <f t="shared" si="7"/>
        <v>0.466981784643763</v>
      </c>
      <c r="AE25" s="145" t="s">
        <v>63</v>
      </c>
    </row>
    <row r="26" s="145" customFormat="1" ht="192" customHeight="1" spans="1:31">
      <c r="A26" s="12">
        <v>17</v>
      </c>
      <c r="B26" s="12" t="s">
        <v>135</v>
      </c>
      <c r="C26" s="12" t="s">
        <v>136</v>
      </c>
      <c r="D26" s="12" t="s">
        <v>35</v>
      </c>
      <c r="E26" s="12" t="s">
        <v>71</v>
      </c>
      <c r="F26" s="12" t="s">
        <v>40</v>
      </c>
      <c r="G26" s="12" t="s">
        <v>132</v>
      </c>
      <c r="H26" s="149" t="s">
        <v>137</v>
      </c>
      <c r="I26" s="12" t="s">
        <v>128</v>
      </c>
      <c r="J26" s="12">
        <v>127171</v>
      </c>
      <c r="K26" s="20">
        <f t="shared" si="4"/>
        <v>3815.13</v>
      </c>
      <c r="L26" s="20">
        <f t="shared" si="5"/>
        <v>3815.13</v>
      </c>
      <c r="M26" s="20">
        <f>J26*0.03</f>
        <v>3815.13</v>
      </c>
      <c r="N26" s="20"/>
      <c r="O26" s="20"/>
      <c r="P26" s="20"/>
      <c r="Q26" s="12"/>
      <c r="R26" s="12"/>
      <c r="S26" s="12"/>
      <c r="T26" s="12"/>
      <c r="U26" s="12"/>
      <c r="V26" s="12"/>
      <c r="W26" s="12">
        <v>62336</v>
      </c>
      <c r="X26" s="149" t="s">
        <v>138</v>
      </c>
      <c r="Y26" s="149"/>
      <c r="Z26" s="12" t="s">
        <v>121</v>
      </c>
      <c r="AA26" s="156" t="s">
        <v>122</v>
      </c>
      <c r="AB26" s="155" t="s">
        <v>123</v>
      </c>
      <c r="AC26" s="145">
        <v>19473</v>
      </c>
      <c r="AD26" s="154">
        <f t="shared" si="7"/>
        <v>0.195918964720382</v>
      </c>
      <c r="AE26" s="145" t="s">
        <v>63</v>
      </c>
    </row>
    <row r="27" s="145" customFormat="1" ht="167" customHeight="1" spans="1:31">
      <c r="A27" s="12">
        <v>18</v>
      </c>
      <c r="B27" s="12" t="s">
        <v>139</v>
      </c>
      <c r="C27" s="12" t="s">
        <v>140</v>
      </c>
      <c r="D27" s="12" t="s">
        <v>35</v>
      </c>
      <c r="E27" s="12" t="s">
        <v>71</v>
      </c>
      <c r="F27" s="12" t="s">
        <v>40</v>
      </c>
      <c r="G27" s="12" t="s">
        <v>141</v>
      </c>
      <c r="H27" s="149" t="s">
        <v>142</v>
      </c>
      <c r="I27" s="12" t="s">
        <v>143</v>
      </c>
      <c r="J27" s="12">
        <v>238503</v>
      </c>
      <c r="K27" s="20">
        <f t="shared" si="4"/>
        <v>238.503</v>
      </c>
      <c r="L27" s="20">
        <f t="shared" si="5"/>
        <v>238.503</v>
      </c>
      <c r="M27" s="20"/>
      <c r="N27" s="20">
        <f t="shared" ref="N27:N30" si="8">J27*0.001</f>
        <v>238.503</v>
      </c>
      <c r="O27" s="20"/>
      <c r="P27" s="20"/>
      <c r="Q27" s="12"/>
      <c r="R27" s="12"/>
      <c r="S27" s="12"/>
      <c r="T27" s="12"/>
      <c r="U27" s="12"/>
      <c r="V27" s="12"/>
      <c r="W27" s="12">
        <v>20210</v>
      </c>
      <c r="X27" s="149" t="s">
        <v>144</v>
      </c>
      <c r="Y27" s="149"/>
      <c r="Z27" s="12" t="s">
        <v>121</v>
      </c>
      <c r="AA27" s="156" t="s">
        <v>122</v>
      </c>
      <c r="AB27" s="155" t="s">
        <v>104</v>
      </c>
      <c r="AC27" s="145">
        <v>4504</v>
      </c>
      <c r="AD27" s="154">
        <f t="shared" si="7"/>
        <v>0.0529535968028419</v>
      </c>
      <c r="AE27" s="145" t="s">
        <v>63</v>
      </c>
    </row>
    <row r="28" s="145" customFormat="1" ht="139" customHeight="1" spans="1:31">
      <c r="A28" s="12">
        <v>19</v>
      </c>
      <c r="B28" s="12" t="s">
        <v>145</v>
      </c>
      <c r="C28" s="12" t="s">
        <v>146</v>
      </c>
      <c r="D28" s="12" t="s">
        <v>35</v>
      </c>
      <c r="E28" s="12" t="s">
        <v>71</v>
      </c>
      <c r="F28" s="12" t="s">
        <v>40</v>
      </c>
      <c r="G28" s="12" t="s">
        <v>147</v>
      </c>
      <c r="H28" s="149" t="s">
        <v>148</v>
      </c>
      <c r="I28" s="12" t="s">
        <v>143</v>
      </c>
      <c r="J28" s="12">
        <v>50519</v>
      </c>
      <c r="K28" s="20">
        <f t="shared" si="4"/>
        <v>50.519</v>
      </c>
      <c r="L28" s="20">
        <f t="shared" si="5"/>
        <v>50.519</v>
      </c>
      <c r="M28" s="20"/>
      <c r="N28" s="20">
        <f t="shared" si="8"/>
        <v>50.519</v>
      </c>
      <c r="O28" s="20"/>
      <c r="P28" s="20"/>
      <c r="Q28" s="12"/>
      <c r="R28" s="12"/>
      <c r="S28" s="12"/>
      <c r="T28" s="12"/>
      <c r="U28" s="12"/>
      <c r="V28" s="12"/>
      <c r="W28" s="12">
        <v>3984</v>
      </c>
      <c r="X28" s="149" t="s">
        <v>149</v>
      </c>
      <c r="Y28" s="149"/>
      <c r="Z28" s="12" t="s">
        <v>121</v>
      </c>
      <c r="AA28" s="156" t="s">
        <v>122</v>
      </c>
      <c r="AB28" s="155" t="s">
        <v>104</v>
      </c>
      <c r="AC28" s="145">
        <v>1051</v>
      </c>
      <c r="AD28" s="154">
        <f t="shared" si="7"/>
        <v>0.0480675547098002</v>
      </c>
      <c r="AE28" s="145" t="s">
        <v>63</v>
      </c>
    </row>
    <row r="29" s="145" customFormat="1" ht="142" customHeight="1" spans="1:31">
      <c r="A29" s="12">
        <v>20</v>
      </c>
      <c r="B29" s="12" t="s">
        <v>150</v>
      </c>
      <c r="C29" s="12" t="s">
        <v>151</v>
      </c>
      <c r="D29" s="12" t="s">
        <v>35</v>
      </c>
      <c r="E29" s="12" t="s">
        <v>71</v>
      </c>
      <c r="F29" s="12" t="s">
        <v>40</v>
      </c>
      <c r="G29" s="12" t="s">
        <v>152</v>
      </c>
      <c r="H29" s="149" t="s">
        <v>153</v>
      </c>
      <c r="I29" s="12" t="s">
        <v>143</v>
      </c>
      <c r="J29" s="12">
        <v>44225</v>
      </c>
      <c r="K29" s="20">
        <f t="shared" si="4"/>
        <v>44.225</v>
      </c>
      <c r="L29" s="20">
        <f t="shared" si="5"/>
        <v>44.225</v>
      </c>
      <c r="M29" s="20"/>
      <c r="N29" s="20">
        <f t="shared" si="8"/>
        <v>44.225</v>
      </c>
      <c r="O29" s="20"/>
      <c r="P29" s="20"/>
      <c r="Q29" s="12"/>
      <c r="R29" s="12"/>
      <c r="S29" s="12"/>
      <c r="T29" s="12"/>
      <c r="U29" s="12"/>
      <c r="V29" s="12"/>
      <c r="W29" s="12">
        <v>4444</v>
      </c>
      <c r="X29" s="149" t="s">
        <v>154</v>
      </c>
      <c r="Y29" s="149"/>
      <c r="Z29" s="12" t="s">
        <v>121</v>
      </c>
      <c r="AA29" s="156" t="s">
        <v>122</v>
      </c>
      <c r="AB29" s="155" t="s">
        <v>104</v>
      </c>
      <c r="AC29" s="145">
        <v>879</v>
      </c>
      <c r="AD29" s="154">
        <f t="shared" si="7"/>
        <v>0.0503128555176337</v>
      </c>
      <c r="AE29" s="145" t="s">
        <v>63</v>
      </c>
    </row>
    <row r="30" s="145" customFormat="1" ht="130" customHeight="1" spans="1:30">
      <c r="A30" s="12">
        <v>21</v>
      </c>
      <c r="B30" s="12" t="s">
        <v>155</v>
      </c>
      <c r="C30" s="12" t="s">
        <v>156</v>
      </c>
      <c r="D30" s="12" t="s">
        <v>35</v>
      </c>
      <c r="E30" s="12" t="s">
        <v>71</v>
      </c>
      <c r="F30" s="12" t="s">
        <v>40</v>
      </c>
      <c r="G30" s="12" t="s">
        <v>157</v>
      </c>
      <c r="H30" s="149" t="s">
        <v>158</v>
      </c>
      <c r="I30" s="12" t="s">
        <v>143</v>
      </c>
      <c r="J30" s="12">
        <v>157526</v>
      </c>
      <c r="K30" s="20">
        <f t="shared" si="4"/>
        <v>47.2578</v>
      </c>
      <c r="L30" s="20">
        <f t="shared" si="5"/>
        <v>47.2578</v>
      </c>
      <c r="M30" s="20"/>
      <c r="N30" s="20">
        <f>J30*0.0003</f>
        <v>47.2578</v>
      </c>
      <c r="O30" s="20"/>
      <c r="P30" s="20"/>
      <c r="Q30" s="12"/>
      <c r="R30" s="12"/>
      <c r="S30" s="12"/>
      <c r="T30" s="12"/>
      <c r="U30" s="12"/>
      <c r="V30" s="12"/>
      <c r="W30" s="12">
        <v>5612</v>
      </c>
      <c r="X30" s="149" t="s">
        <v>159</v>
      </c>
      <c r="Y30" s="149"/>
      <c r="Z30" s="12" t="s">
        <v>121</v>
      </c>
      <c r="AA30" s="156" t="s">
        <v>122</v>
      </c>
      <c r="AB30" s="155" t="s">
        <v>104</v>
      </c>
      <c r="AC30" s="145">
        <v>1649</v>
      </c>
      <c r="AD30" s="154">
        <f t="shared" si="7"/>
        <v>0.0286584596725288</v>
      </c>
    </row>
    <row r="31" s="145" customFormat="1" ht="134" customHeight="1" spans="1:31">
      <c r="A31" s="12">
        <v>22</v>
      </c>
      <c r="B31" s="12" t="s">
        <v>160</v>
      </c>
      <c r="C31" s="12" t="s">
        <v>161</v>
      </c>
      <c r="D31" s="12" t="s">
        <v>35</v>
      </c>
      <c r="E31" s="12" t="s">
        <v>71</v>
      </c>
      <c r="F31" s="12" t="s">
        <v>40</v>
      </c>
      <c r="G31" s="12" t="s">
        <v>162</v>
      </c>
      <c r="H31" s="149" t="s">
        <v>163</v>
      </c>
      <c r="I31" s="12" t="s">
        <v>164</v>
      </c>
      <c r="J31" s="12">
        <v>281</v>
      </c>
      <c r="K31" s="20">
        <f t="shared" si="4"/>
        <v>28.1</v>
      </c>
      <c r="L31" s="20">
        <f t="shared" si="5"/>
        <v>28.1</v>
      </c>
      <c r="M31" s="20"/>
      <c r="N31" s="20">
        <f t="shared" ref="N31:N33" si="9">J31*0.1</f>
        <v>28.1</v>
      </c>
      <c r="O31" s="20"/>
      <c r="P31" s="20"/>
      <c r="Q31" s="12"/>
      <c r="R31" s="12"/>
      <c r="S31" s="12"/>
      <c r="T31" s="12"/>
      <c r="U31" s="12"/>
      <c r="V31" s="12"/>
      <c r="W31" s="12">
        <v>1204</v>
      </c>
      <c r="X31" s="149" t="s">
        <v>165</v>
      </c>
      <c r="Y31" s="149"/>
      <c r="Z31" s="12" t="s">
        <v>121</v>
      </c>
      <c r="AA31" s="156" t="s">
        <v>122</v>
      </c>
      <c r="AB31" s="155" t="s">
        <v>123</v>
      </c>
      <c r="AC31" s="145">
        <v>278</v>
      </c>
      <c r="AD31" s="154">
        <f t="shared" si="7"/>
        <v>0.101079136690647</v>
      </c>
      <c r="AE31" s="145" t="s">
        <v>63</v>
      </c>
    </row>
    <row r="32" s="145" customFormat="1" ht="125" customHeight="1" spans="1:31">
      <c r="A32" s="12">
        <v>23</v>
      </c>
      <c r="B32" s="12" t="s">
        <v>166</v>
      </c>
      <c r="C32" s="12" t="s">
        <v>167</v>
      </c>
      <c r="D32" s="12" t="s">
        <v>35</v>
      </c>
      <c r="E32" s="12" t="s">
        <v>71</v>
      </c>
      <c r="F32" s="12" t="s">
        <v>40</v>
      </c>
      <c r="G32" s="12" t="s">
        <v>168</v>
      </c>
      <c r="H32" s="149" t="s">
        <v>169</v>
      </c>
      <c r="I32" s="12" t="s">
        <v>164</v>
      </c>
      <c r="J32" s="12">
        <v>317</v>
      </c>
      <c r="K32" s="20">
        <v>15.85</v>
      </c>
      <c r="L32" s="20">
        <f t="shared" si="5"/>
        <v>15.85</v>
      </c>
      <c r="M32" s="20"/>
      <c r="N32" s="20">
        <v>15.85</v>
      </c>
      <c r="O32" s="20"/>
      <c r="P32" s="20"/>
      <c r="Q32" s="12"/>
      <c r="R32" s="12"/>
      <c r="S32" s="12"/>
      <c r="T32" s="12"/>
      <c r="U32" s="12"/>
      <c r="V32" s="12"/>
      <c r="W32" s="12">
        <v>544</v>
      </c>
      <c r="X32" s="149" t="s">
        <v>170</v>
      </c>
      <c r="Y32" s="149"/>
      <c r="Z32" s="12" t="s">
        <v>121</v>
      </c>
      <c r="AA32" s="156" t="s">
        <v>122</v>
      </c>
      <c r="AB32" s="155" t="s">
        <v>123</v>
      </c>
      <c r="AC32" s="145">
        <v>298</v>
      </c>
      <c r="AD32" s="154">
        <f t="shared" si="7"/>
        <v>0.0531879194630872</v>
      </c>
      <c r="AE32" s="145" t="s">
        <v>63</v>
      </c>
    </row>
    <row r="33" s="145" customFormat="1" ht="128" customHeight="1" spans="1:31">
      <c r="A33" s="12">
        <v>24</v>
      </c>
      <c r="B33" s="12" t="s">
        <v>171</v>
      </c>
      <c r="C33" s="12" t="s">
        <v>172</v>
      </c>
      <c r="D33" s="12" t="s">
        <v>35</v>
      </c>
      <c r="E33" s="12" t="s">
        <v>71</v>
      </c>
      <c r="F33" s="12" t="s">
        <v>40</v>
      </c>
      <c r="G33" s="12" t="s">
        <v>173</v>
      </c>
      <c r="H33" s="149" t="s">
        <v>174</v>
      </c>
      <c r="I33" s="12" t="s">
        <v>164</v>
      </c>
      <c r="J33" s="12">
        <v>2826</v>
      </c>
      <c r="K33" s="20">
        <f t="shared" si="4"/>
        <v>282.6</v>
      </c>
      <c r="L33" s="20">
        <f t="shared" si="5"/>
        <v>282.6</v>
      </c>
      <c r="M33" s="20"/>
      <c r="N33" s="20">
        <f t="shared" si="9"/>
        <v>282.6</v>
      </c>
      <c r="O33" s="20"/>
      <c r="P33" s="20"/>
      <c r="Q33" s="12"/>
      <c r="R33" s="12"/>
      <c r="S33" s="12"/>
      <c r="T33" s="12"/>
      <c r="U33" s="12"/>
      <c r="V33" s="12"/>
      <c r="W33" s="12">
        <v>9188</v>
      </c>
      <c r="X33" s="149" t="s">
        <v>175</v>
      </c>
      <c r="Y33" s="149"/>
      <c r="Z33" s="12" t="s">
        <v>121</v>
      </c>
      <c r="AA33" s="156" t="s">
        <v>122</v>
      </c>
      <c r="AB33" s="155" t="s">
        <v>123</v>
      </c>
      <c r="AC33" s="145">
        <v>2804</v>
      </c>
      <c r="AD33" s="154">
        <f t="shared" si="7"/>
        <v>0.100784593437946</v>
      </c>
      <c r="AE33" s="145" t="s">
        <v>63</v>
      </c>
    </row>
    <row r="34" s="145" customFormat="1" ht="150" customHeight="1" spans="1:30">
      <c r="A34" s="12">
        <v>25</v>
      </c>
      <c r="B34" s="12" t="s">
        <v>176</v>
      </c>
      <c r="C34" s="12" t="s">
        <v>177</v>
      </c>
      <c r="D34" s="12" t="s">
        <v>35</v>
      </c>
      <c r="E34" s="12" t="s">
        <v>71</v>
      </c>
      <c r="F34" s="12" t="s">
        <v>40</v>
      </c>
      <c r="G34" s="12" t="s">
        <v>178</v>
      </c>
      <c r="H34" s="149" t="s">
        <v>179</v>
      </c>
      <c r="I34" s="12" t="s">
        <v>180</v>
      </c>
      <c r="J34" s="12">
        <v>57472.1</v>
      </c>
      <c r="K34" s="20">
        <f t="shared" si="4"/>
        <v>287.3605</v>
      </c>
      <c r="L34" s="20">
        <f t="shared" si="5"/>
        <v>287.3605</v>
      </c>
      <c r="M34" s="20"/>
      <c r="N34" s="20">
        <f>J34*0.005</f>
        <v>287.3605</v>
      </c>
      <c r="O34" s="20"/>
      <c r="P34" s="20"/>
      <c r="Q34" s="12"/>
      <c r="R34" s="12"/>
      <c r="S34" s="12"/>
      <c r="T34" s="12"/>
      <c r="U34" s="12"/>
      <c r="V34" s="12"/>
      <c r="W34" s="12">
        <v>9468</v>
      </c>
      <c r="X34" s="149" t="s">
        <v>181</v>
      </c>
      <c r="Y34" s="149"/>
      <c r="Z34" s="12" t="s">
        <v>121</v>
      </c>
      <c r="AA34" s="156" t="s">
        <v>122</v>
      </c>
      <c r="AB34" s="155" t="s">
        <v>123</v>
      </c>
      <c r="AC34" s="145">
        <v>2071</v>
      </c>
      <c r="AD34" s="154">
        <f t="shared" si="7"/>
        <v>0.138754466441333</v>
      </c>
    </row>
    <row r="35" s="145" customFormat="1" ht="100" customHeight="1" spans="1:31">
      <c r="A35" s="12">
        <v>26</v>
      </c>
      <c r="B35" s="12" t="s">
        <v>182</v>
      </c>
      <c r="C35" s="12" t="s">
        <v>183</v>
      </c>
      <c r="D35" s="12" t="s">
        <v>35</v>
      </c>
      <c r="E35" s="12" t="s">
        <v>184</v>
      </c>
      <c r="F35" s="19" t="s">
        <v>40</v>
      </c>
      <c r="G35" s="19" t="s">
        <v>185</v>
      </c>
      <c r="H35" s="15" t="s">
        <v>186</v>
      </c>
      <c r="I35" s="19" t="s">
        <v>187</v>
      </c>
      <c r="J35" s="19">
        <f>32673+10185</f>
        <v>42858</v>
      </c>
      <c r="K35" s="20">
        <f t="shared" si="4"/>
        <v>1000</v>
      </c>
      <c r="L35" s="20">
        <f t="shared" si="5"/>
        <v>1000</v>
      </c>
      <c r="M35" s="151">
        <v>1000</v>
      </c>
      <c r="N35" s="151"/>
      <c r="O35" s="151"/>
      <c r="P35" s="151"/>
      <c r="Q35" s="19"/>
      <c r="R35" s="19"/>
      <c r="S35" s="19"/>
      <c r="T35" s="19"/>
      <c r="U35" s="19"/>
      <c r="V35" s="19"/>
      <c r="W35" s="19">
        <v>9415</v>
      </c>
      <c r="X35" s="149" t="s">
        <v>188</v>
      </c>
      <c r="Y35" s="15"/>
      <c r="Z35" s="19" t="s">
        <v>80</v>
      </c>
      <c r="AA35" s="21" t="s">
        <v>81</v>
      </c>
      <c r="AB35" s="12"/>
      <c r="AC35" s="145"/>
      <c r="AD35" s="154"/>
      <c r="AE35" s="145" t="s">
        <v>63</v>
      </c>
    </row>
    <row r="36" s="144" customFormat="1" ht="43" customHeight="1" spans="1:31">
      <c r="A36" s="150" t="s">
        <v>189</v>
      </c>
      <c r="B36" s="150"/>
      <c r="C36" s="150"/>
      <c r="D36" s="106"/>
      <c r="E36" s="11"/>
      <c r="F36" s="11"/>
      <c r="G36" s="11"/>
      <c r="H36" s="11">
        <v>28</v>
      </c>
      <c r="I36" s="117"/>
      <c r="J36" s="117"/>
      <c r="K36" s="18">
        <f t="shared" ref="K36:V36" si="10">SUM(K37:K64)</f>
        <v>24492.246</v>
      </c>
      <c r="L36" s="18">
        <f t="shared" si="10"/>
        <v>24330.366</v>
      </c>
      <c r="M36" s="18">
        <f t="shared" si="10"/>
        <v>24330.366</v>
      </c>
      <c r="N36" s="18">
        <f t="shared" si="10"/>
        <v>0</v>
      </c>
      <c r="O36" s="18">
        <f t="shared" si="10"/>
        <v>0</v>
      </c>
      <c r="P36" s="18">
        <f t="shared" si="10"/>
        <v>0</v>
      </c>
      <c r="Q36" s="18">
        <f t="shared" si="10"/>
        <v>0</v>
      </c>
      <c r="R36" s="18">
        <f t="shared" si="10"/>
        <v>0</v>
      </c>
      <c r="S36" s="18">
        <f t="shared" si="10"/>
        <v>0</v>
      </c>
      <c r="T36" s="18">
        <f t="shared" si="10"/>
        <v>0</v>
      </c>
      <c r="U36" s="18">
        <f t="shared" si="10"/>
        <v>161.88</v>
      </c>
      <c r="V36" s="18">
        <f t="shared" si="10"/>
        <v>0</v>
      </c>
      <c r="W36" s="11"/>
      <c r="X36" s="150"/>
      <c r="Y36" s="150"/>
      <c r="Z36" s="123"/>
      <c r="AA36" s="123"/>
      <c r="AB36" s="123"/>
      <c r="AC36" s="144"/>
      <c r="AD36" s="144"/>
      <c r="AE36" s="145"/>
    </row>
    <row r="37" s="145" customFormat="1" ht="105" spans="1:31">
      <c r="A37" s="12">
        <v>27</v>
      </c>
      <c r="B37" s="12" t="s">
        <v>190</v>
      </c>
      <c r="C37" s="12" t="s">
        <v>191</v>
      </c>
      <c r="D37" s="12" t="s">
        <v>35</v>
      </c>
      <c r="E37" s="12" t="s">
        <v>39</v>
      </c>
      <c r="F37" s="12" t="s">
        <v>40</v>
      </c>
      <c r="G37" s="12" t="s">
        <v>192</v>
      </c>
      <c r="H37" s="149" t="s">
        <v>193</v>
      </c>
      <c r="I37" s="12" t="s">
        <v>43</v>
      </c>
      <c r="J37" s="12">
        <v>3500</v>
      </c>
      <c r="K37" s="20">
        <f t="shared" ref="K37:K58" si="11">SUM(L37,T37,U37,V37)</f>
        <v>630</v>
      </c>
      <c r="L37" s="20">
        <f t="shared" ref="L37:L58" si="12">SUM(M37:S37)</f>
        <v>630</v>
      </c>
      <c r="M37" s="20">
        <f t="shared" ref="M37:M52" si="13">J37*0.18</f>
        <v>630</v>
      </c>
      <c r="N37" s="20"/>
      <c r="O37" s="20"/>
      <c r="P37" s="20"/>
      <c r="Q37" s="12"/>
      <c r="R37" s="12"/>
      <c r="S37" s="12"/>
      <c r="T37" s="12"/>
      <c r="U37" s="12"/>
      <c r="V37" s="12"/>
      <c r="W37" s="12">
        <v>500</v>
      </c>
      <c r="X37" s="149" t="s">
        <v>194</v>
      </c>
      <c r="Y37" s="149"/>
      <c r="Z37" s="12" t="s">
        <v>80</v>
      </c>
      <c r="AA37" s="12" t="s">
        <v>81</v>
      </c>
      <c r="AB37" s="12"/>
      <c r="AC37" s="145"/>
      <c r="AD37" s="145"/>
      <c r="AE37" s="145" t="s">
        <v>63</v>
      </c>
    </row>
    <row r="38" s="145" customFormat="1" ht="105" spans="1:31">
      <c r="A38" s="12">
        <v>28</v>
      </c>
      <c r="B38" s="12" t="s">
        <v>195</v>
      </c>
      <c r="C38" s="12" t="s">
        <v>196</v>
      </c>
      <c r="D38" s="12" t="s">
        <v>35</v>
      </c>
      <c r="E38" s="12" t="s">
        <v>39</v>
      </c>
      <c r="F38" s="12" t="s">
        <v>40</v>
      </c>
      <c r="G38" s="12" t="s">
        <v>197</v>
      </c>
      <c r="H38" s="149" t="s">
        <v>198</v>
      </c>
      <c r="I38" s="12" t="s">
        <v>43</v>
      </c>
      <c r="J38" s="12">
        <v>5975.7</v>
      </c>
      <c r="K38" s="20">
        <f t="shared" si="11"/>
        <v>1075.626</v>
      </c>
      <c r="L38" s="20">
        <f t="shared" si="12"/>
        <v>1075.626</v>
      </c>
      <c r="M38" s="20">
        <f t="shared" si="13"/>
        <v>1075.626</v>
      </c>
      <c r="N38" s="20"/>
      <c r="O38" s="20"/>
      <c r="P38" s="20"/>
      <c r="Q38" s="12"/>
      <c r="R38" s="12"/>
      <c r="S38" s="12"/>
      <c r="T38" s="12"/>
      <c r="U38" s="12"/>
      <c r="V38" s="12"/>
      <c r="W38" s="12">
        <v>1500</v>
      </c>
      <c r="X38" s="149" t="s">
        <v>199</v>
      </c>
      <c r="Y38" s="149"/>
      <c r="Z38" s="12" t="s">
        <v>80</v>
      </c>
      <c r="AA38" s="12" t="s">
        <v>81</v>
      </c>
      <c r="AB38" s="12"/>
      <c r="AC38" s="145"/>
      <c r="AD38" s="145"/>
      <c r="AE38" s="145" t="s">
        <v>63</v>
      </c>
    </row>
    <row r="39" s="145" customFormat="1" ht="105" spans="1:31">
      <c r="A39" s="12">
        <v>29</v>
      </c>
      <c r="B39" s="12" t="s">
        <v>200</v>
      </c>
      <c r="C39" s="12" t="s">
        <v>201</v>
      </c>
      <c r="D39" s="12" t="s">
        <v>35</v>
      </c>
      <c r="E39" s="12" t="s">
        <v>39</v>
      </c>
      <c r="F39" s="12" t="s">
        <v>40</v>
      </c>
      <c r="G39" s="12" t="s">
        <v>202</v>
      </c>
      <c r="H39" s="149" t="s">
        <v>203</v>
      </c>
      <c r="I39" s="12" t="s">
        <v>43</v>
      </c>
      <c r="J39" s="12">
        <v>7600</v>
      </c>
      <c r="K39" s="20">
        <f t="shared" si="11"/>
        <v>1529.88</v>
      </c>
      <c r="L39" s="20">
        <f t="shared" si="12"/>
        <v>1368</v>
      </c>
      <c r="M39" s="20">
        <f t="shared" si="13"/>
        <v>1368</v>
      </c>
      <c r="N39" s="20"/>
      <c r="O39" s="20"/>
      <c r="P39" s="20"/>
      <c r="Q39" s="12"/>
      <c r="R39" s="12"/>
      <c r="S39" s="12"/>
      <c r="T39" s="12"/>
      <c r="U39" s="12">
        <f>94.88+67</f>
        <v>161.88</v>
      </c>
      <c r="V39" s="12"/>
      <c r="W39" s="12">
        <v>1600</v>
      </c>
      <c r="X39" s="149" t="s">
        <v>204</v>
      </c>
      <c r="Y39" s="149"/>
      <c r="Z39" s="12" t="s">
        <v>80</v>
      </c>
      <c r="AA39" s="12" t="s">
        <v>81</v>
      </c>
      <c r="AB39" s="12"/>
      <c r="AC39" s="145"/>
      <c r="AD39" s="145"/>
      <c r="AE39" s="145" t="s">
        <v>63</v>
      </c>
    </row>
    <row r="40" s="145" customFormat="1" ht="105" spans="1:31">
      <c r="A40" s="12">
        <v>30</v>
      </c>
      <c r="B40" s="12" t="s">
        <v>205</v>
      </c>
      <c r="C40" s="12" t="s">
        <v>206</v>
      </c>
      <c r="D40" s="12" t="s">
        <v>35</v>
      </c>
      <c r="E40" s="12" t="s">
        <v>39</v>
      </c>
      <c r="F40" s="12" t="s">
        <v>40</v>
      </c>
      <c r="G40" s="12" t="s">
        <v>207</v>
      </c>
      <c r="H40" s="149" t="s">
        <v>208</v>
      </c>
      <c r="I40" s="12" t="s">
        <v>43</v>
      </c>
      <c r="J40" s="12">
        <v>6560</v>
      </c>
      <c r="K40" s="20">
        <f t="shared" si="11"/>
        <v>1180.8</v>
      </c>
      <c r="L40" s="20">
        <f t="shared" si="12"/>
        <v>1180.8</v>
      </c>
      <c r="M40" s="20">
        <f t="shared" si="13"/>
        <v>1180.8</v>
      </c>
      <c r="N40" s="20"/>
      <c r="O40" s="20"/>
      <c r="P40" s="20"/>
      <c r="Q40" s="12"/>
      <c r="R40" s="12"/>
      <c r="S40" s="12"/>
      <c r="T40" s="12"/>
      <c r="U40" s="12"/>
      <c r="V40" s="12"/>
      <c r="W40" s="12">
        <v>700</v>
      </c>
      <c r="X40" s="149" t="s">
        <v>209</v>
      </c>
      <c r="Y40" s="149"/>
      <c r="Z40" s="12" t="s">
        <v>80</v>
      </c>
      <c r="AA40" s="12" t="s">
        <v>81</v>
      </c>
      <c r="AB40" s="12"/>
      <c r="AC40" s="145"/>
      <c r="AD40" s="145"/>
      <c r="AE40" s="145" t="s">
        <v>63</v>
      </c>
    </row>
    <row r="41" s="145" customFormat="1" ht="105" spans="1:31">
      <c r="A41" s="12">
        <v>31</v>
      </c>
      <c r="B41" s="12" t="s">
        <v>210</v>
      </c>
      <c r="C41" s="12" t="s">
        <v>211</v>
      </c>
      <c r="D41" s="12" t="s">
        <v>35</v>
      </c>
      <c r="E41" s="12" t="s">
        <v>39</v>
      </c>
      <c r="F41" s="12" t="s">
        <v>40</v>
      </c>
      <c r="G41" s="12" t="s">
        <v>212</v>
      </c>
      <c r="H41" s="149" t="s">
        <v>213</v>
      </c>
      <c r="I41" s="12" t="s">
        <v>43</v>
      </c>
      <c r="J41" s="12">
        <v>6937</v>
      </c>
      <c r="K41" s="20">
        <f t="shared" si="11"/>
        <v>1248.66</v>
      </c>
      <c r="L41" s="20">
        <f t="shared" si="12"/>
        <v>1248.66</v>
      </c>
      <c r="M41" s="20">
        <f t="shared" si="13"/>
        <v>1248.66</v>
      </c>
      <c r="N41" s="20"/>
      <c r="O41" s="20"/>
      <c r="P41" s="20"/>
      <c r="Q41" s="12"/>
      <c r="R41" s="12"/>
      <c r="S41" s="12"/>
      <c r="T41" s="12"/>
      <c r="U41" s="12"/>
      <c r="V41" s="12"/>
      <c r="W41" s="12">
        <v>1800</v>
      </c>
      <c r="X41" s="149" t="s">
        <v>214</v>
      </c>
      <c r="Y41" s="149"/>
      <c r="Z41" s="12" t="s">
        <v>80</v>
      </c>
      <c r="AA41" s="12" t="s">
        <v>81</v>
      </c>
      <c r="AB41" s="12"/>
      <c r="AC41" s="145"/>
      <c r="AD41" s="145"/>
      <c r="AE41" s="145" t="s">
        <v>63</v>
      </c>
    </row>
    <row r="42" s="145" customFormat="1" ht="105" spans="1:28">
      <c r="A42" s="12">
        <v>32</v>
      </c>
      <c r="B42" s="12" t="s">
        <v>215</v>
      </c>
      <c r="C42" s="12" t="s">
        <v>216</v>
      </c>
      <c r="D42" s="12" t="s">
        <v>35</v>
      </c>
      <c r="E42" s="12" t="s">
        <v>39</v>
      </c>
      <c r="F42" s="12" t="s">
        <v>40</v>
      </c>
      <c r="G42" s="12" t="s">
        <v>217</v>
      </c>
      <c r="H42" s="149" t="s">
        <v>218</v>
      </c>
      <c r="I42" s="12" t="s">
        <v>43</v>
      </c>
      <c r="J42" s="12">
        <v>1500</v>
      </c>
      <c r="K42" s="20">
        <f t="shared" si="11"/>
        <v>270</v>
      </c>
      <c r="L42" s="20">
        <f t="shared" si="12"/>
        <v>270</v>
      </c>
      <c r="M42" s="20">
        <f t="shared" si="13"/>
        <v>270</v>
      </c>
      <c r="N42" s="20"/>
      <c r="O42" s="20"/>
      <c r="P42" s="20"/>
      <c r="Q42" s="12"/>
      <c r="R42" s="12"/>
      <c r="S42" s="12"/>
      <c r="T42" s="12"/>
      <c r="U42" s="12"/>
      <c r="V42" s="12"/>
      <c r="W42" s="12">
        <v>600</v>
      </c>
      <c r="X42" s="149" t="s">
        <v>219</v>
      </c>
      <c r="Y42" s="149"/>
      <c r="Z42" s="12" t="s">
        <v>80</v>
      </c>
      <c r="AA42" s="12" t="s">
        <v>81</v>
      </c>
      <c r="AB42" s="12"/>
    </row>
    <row r="43" s="145" customFormat="1" ht="105" spans="1:31">
      <c r="A43" s="12">
        <v>33</v>
      </c>
      <c r="B43" s="12" t="s">
        <v>220</v>
      </c>
      <c r="C43" s="12" t="s">
        <v>221</v>
      </c>
      <c r="D43" s="12" t="s">
        <v>35</v>
      </c>
      <c r="E43" s="12" t="s">
        <v>39</v>
      </c>
      <c r="F43" s="12" t="s">
        <v>40</v>
      </c>
      <c r="G43" s="12" t="s">
        <v>222</v>
      </c>
      <c r="H43" s="149" t="s">
        <v>223</v>
      </c>
      <c r="I43" s="12" t="s">
        <v>43</v>
      </c>
      <c r="J43" s="12">
        <v>4900</v>
      </c>
      <c r="K43" s="20">
        <f t="shared" si="11"/>
        <v>882</v>
      </c>
      <c r="L43" s="20">
        <f t="shared" si="12"/>
        <v>882</v>
      </c>
      <c r="M43" s="20">
        <f t="shared" si="13"/>
        <v>882</v>
      </c>
      <c r="N43" s="20"/>
      <c r="O43" s="20"/>
      <c r="P43" s="20"/>
      <c r="Q43" s="12"/>
      <c r="R43" s="12"/>
      <c r="S43" s="12"/>
      <c r="T43" s="12"/>
      <c r="U43" s="12"/>
      <c r="V43" s="12"/>
      <c r="W43" s="12">
        <v>300</v>
      </c>
      <c r="X43" s="149" t="s">
        <v>224</v>
      </c>
      <c r="Y43" s="149"/>
      <c r="Z43" s="12" t="s">
        <v>80</v>
      </c>
      <c r="AA43" s="12" t="s">
        <v>81</v>
      </c>
      <c r="AB43" s="12"/>
      <c r="AC43" s="145"/>
      <c r="AD43" s="145"/>
      <c r="AE43" s="145" t="s">
        <v>63</v>
      </c>
    </row>
    <row r="44" s="145" customFormat="1" ht="105" spans="1:31">
      <c r="A44" s="12">
        <v>34</v>
      </c>
      <c r="B44" s="12" t="s">
        <v>225</v>
      </c>
      <c r="C44" s="12" t="s">
        <v>226</v>
      </c>
      <c r="D44" s="12" t="s">
        <v>35</v>
      </c>
      <c r="E44" s="12" t="s">
        <v>39</v>
      </c>
      <c r="F44" s="12" t="s">
        <v>40</v>
      </c>
      <c r="G44" s="12" t="s">
        <v>227</v>
      </c>
      <c r="H44" s="149" t="s">
        <v>228</v>
      </c>
      <c r="I44" s="12" t="s">
        <v>43</v>
      </c>
      <c r="J44" s="12">
        <v>7076</v>
      </c>
      <c r="K44" s="20">
        <f t="shared" si="11"/>
        <v>1273.68</v>
      </c>
      <c r="L44" s="20">
        <f t="shared" si="12"/>
        <v>1273.68</v>
      </c>
      <c r="M44" s="20">
        <f t="shared" si="13"/>
        <v>1273.68</v>
      </c>
      <c r="N44" s="20"/>
      <c r="O44" s="20"/>
      <c r="P44" s="20"/>
      <c r="Q44" s="12"/>
      <c r="R44" s="12"/>
      <c r="S44" s="12"/>
      <c r="T44" s="12"/>
      <c r="U44" s="12"/>
      <c r="V44" s="12"/>
      <c r="W44" s="12">
        <v>1700</v>
      </c>
      <c r="X44" s="149" t="s">
        <v>229</v>
      </c>
      <c r="Y44" s="149"/>
      <c r="Z44" s="12" t="s">
        <v>80</v>
      </c>
      <c r="AA44" s="12" t="s">
        <v>81</v>
      </c>
      <c r="AB44" s="12"/>
      <c r="AC44" s="145"/>
      <c r="AD44" s="145"/>
      <c r="AE44" s="145" t="s">
        <v>63</v>
      </c>
    </row>
    <row r="45" s="145" customFormat="1" ht="105" spans="1:31">
      <c r="A45" s="12">
        <v>35</v>
      </c>
      <c r="B45" s="12" t="s">
        <v>230</v>
      </c>
      <c r="C45" s="12" t="s">
        <v>231</v>
      </c>
      <c r="D45" s="12" t="s">
        <v>35</v>
      </c>
      <c r="E45" s="12" t="s">
        <v>39</v>
      </c>
      <c r="F45" s="12" t="s">
        <v>40</v>
      </c>
      <c r="G45" s="12" t="s">
        <v>232</v>
      </c>
      <c r="H45" s="149" t="s">
        <v>233</v>
      </c>
      <c r="I45" s="12" t="s">
        <v>43</v>
      </c>
      <c r="J45" s="12">
        <v>4870</v>
      </c>
      <c r="K45" s="20">
        <f t="shared" si="11"/>
        <v>876.6</v>
      </c>
      <c r="L45" s="20">
        <f t="shared" si="12"/>
        <v>876.6</v>
      </c>
      <c r="M45" s="20">
        <f t="shared" si="13"/>
        <v>876.6</v>
      </c>
      <c r="N45" s="20"/>
      <c r="O45" s="20"/>
      <c r="P45" s="20"/>
      <c r="Q45" s="12"/>
      <c r="R45" s="12"/>
      <c r="S45" s="12"/>
      <c r="T45" s="12"/>
      <c r="U45" s="12"/>
      <c r="V45" s="12"/>
      <c r="W45" s="12">
        <v>876</v>
      </c>
      <c r="X45" s="149" t="s">
        <v>234</v>
      </c>
      <c r="Y45" s="149"/>
      <c r="Z45" s="12" t="s">
        <v>80</v>
      </c>
      <c r="AA45" s="12" t="s">
        <v>81</v>
      </c>
      <c r="AB45" s="12"/>
      <c r="AC45" s="145"/>
      <c r="AD45" s="145"/>
      <c r="AE45" s="145" t="s">
        <v>63</v>
      </c>
    </row>
    <row r="46" s="145" customFormat="1" ht="105" spans="1:31">
      <c r="A46" s="12">
        <v>36</v>
      </c>
      <c r="B46" s="12" t="s">
        <v>235</v>
      </c>
      <c r="C46" s="12" t="s">
        <v>236</v>
      </c>
      <c r="D46" s="12" t="s">
        <v>35</v>
      </c>
      <c r="E46" s="12" t="s">
        <v>39</v>
      </c>
      <c r="F46" s="12" t="s">
        <v>40</v>
      </c>
      <c r="G46" s="12" t="s">
        <v>237</v>
      </c>
      <c r="H46" s="149" t="s">
        <v>238</v>
      </c>
      <c r="I46" s="12" t="s">
        <v>43</v>
      </c>
      <c r="J46" s="12">
        <v>4350</v>
      </c>
      <c r="K46" s="20">
        <f t="shared" si="11"/>
        <v>783</v>
      </c>
      <c r="L46" s="20">
        <f t="shared" si="12"/>
        <v>783</v>
      </c>
      <c r="M46" s="20">
        <f t="shared" si="13"/>
        <v>783</v>
      </c>
      <c r="N46" s="20"/>
      <c r="O46" s="20"/>
      <c r="P46" s="20"/>
      <c r="Q46" s="12"/>
      <c r="R46" s="12"/>
      <c r="S46" s="12"/>
      <c r="T46" s="12"/>
      <c r="U46" s="12"/>
      <c r="V46" s="12"/>
      <c r="W46" s="12">
        <v>243</v>
      </c>
      <c r="X46" s="149" t="s">
        <v>239</v>
      </c>
      <c r="Y46" s="149"/>
      <c r="Z46" s="12" t="s">
        <v>80</v>
      </c>
      <c r="AA46" s="12" t="s">
        <v>81</v>
      </c>
      <c r="AB46" s="12"/>
      <c r="AC46" s="145"/>
      <c r="AD46" s="145"/>
      <c r="AE46" s="145" t="s">
        <v>63</v>
      </c>
    </row>
    <row r="47" s="145" customFormat="1" ht="105" spans="1:31">
      <c r="A47" s="12">
        <v>37</v>
      </c>
      <c r="B47" s="12" t="s">
        <v>240</v>
      </c>
      <c r="C47" s="12" t="s">
        <v>241</v>
      </c>
      <c r="D47" s="12" t="s">
        <v>35</v>
      </c>
      <c r="E47" s="12" t="s">
        <v>39</v>
      </c>
      <c r="F47" s="12" t="s">
        <v>40</v>
      </c>
      <c r="G47" s="12" t="s">
        <v>242</v>
      </c>
      <c r="H47" s="149" t="s">
        <v>243</v>
      </c>
      <c r="I47" s="12" t="s">
        <v>43</v>
      </c>
      <c r="J47" s="12">
        <v>4868</v>
      </c>
      <c r="K47" s="20">
        <f t="shared" si="11"/>
        <v>876.24</v>
      </c>
      <c r="L47" s="20">
        <f t="shared" si="12"/>
        <v>876.24</v>
      </c>
      <c r="M47" s="20">
        <f t="shared" si="13"/>
        <v>876.24</v>
      </c>
      <c r="N47" s="20"/>
      <c r="O47" s="20"/>
      <c r="P47" s="20"/>
      <c r="Q47" s="12"/>
      <c r="R47" s="12"/>
      <c r="S47" s="12"/>
      <c r="T47" s="12"/>
      <c r="U47" s="12"/>
      <c r="V47" s="12"/>
      <c r="W47" s="12">
        <v>516</v>
      </c>
      <c r="X47" s="149" t="s">
        <v>244</v>
      </c>
      <c r="Y47" s="149"/>
      <c r="Z47" s="12" t="s">
        <v>80</v>
      </c>
      <c r="AA47" s="12" t="s">
        <v>81</v>
      </c>
      <c r="AB47" s="12"/>
      <c r="AC47" s="145"/>
      <c r="AD47" s="145"/>
      <c r="AE47" s="145" t="s">
        <v>63</v>
      </c>
    </row>
    <row r="48" s="145" customFormat="1" ht="105" spans="1:31">
      <c r="A48" s="12">
        <v>38</v>
      </c>
      <c r="B48" s="12" t="s">
        <v>245</v>
      </c>
      <c r="C48" s="12" t="s">
        <v>246</v>
      </c>
      <c r="D48" s="12" t="s">
        <v>35</v>
      </c>
      <c r="E48" s="12" t="s">
        <v>39</v>
      </c>
      <c r="F48" s="12" t="s">
        <v>40</v>
      </c>
      <c r="G48" s="12" t="s">
        <v>247</v>
      </c>
      <c r="H48" s="149" t="s">
        <v>248</v>
      </c>
      <c r="I48" s="12" t="s">
        <v>43</v>
      </c>
      <c r="J48" s="12">
        <v>4770</v>
      </c>
      <c r="K48" s="20">
        <f t="shared" si="11"/>
        <v>858.6</v>
      </c>
      <c r="L48" s="20">
        <f t="shared" si="12"/>
        <v>858.6</v>
      </c>
      <c r="M48" s="20">
        <f t="shared" si="13"/>
        <v>858.6</v>
      </c>
      <c r="N48" s="20"/>
      <c r="O48" s="20"/>
      <c r="P48" s="20"/>
      <c r="Q48" s="12"/>
      <c r="R48" s="12"/>
      <c r="S48" s="12"/>
      <c r="T48" s="12"/>
      <c r="U48" s="12"/>
      <c r="V48" s="12"/>
      <c r="W48" s="12">
        <v>858</v>
      </c>
      <c r="X48" s="149" t="s">
        <v>249</v>
      </c>
      <c r="Y48" s="149"/>
      <c r="Z48" s="12" t="s">
        <v>80</v>
      </c>
      <c r="AA48" s="12" t="s">
        <v>81</v>
      </c>
      <c r="AB48" s="12"/>
      <c r="AC48" s="145"/>
      <c r="AD48" s="145"/>
      <c r="AE48" s="145" t="s">
        <v>63</v>
      </c>
    </row>
    <row r="49" s="145" customFormat="1" ht="105" spans="1:31">
      <c r="A49" s="12">
        <v>39</v>
      </c>
      <c r="B49" s="12" t="s">
        <v>250</v>
      </c>
      <c r="C49" s="12" t="s">
        <v>251</v>
      </c>
      <c r="D49" s="12" t="s">
        <v>35</v>
      </c>
      <c r="E49" s="12" t="s">
        <v>39</v>
      </c>
      <c r="F49" s="12" t="s">
        <v>40</v>
      </c>
      <c r="G49" s="12" t="s">
        <v>252</v>
      </c>
      <c r="H49" s="149" t="s">
        <v>253</v>
      </c>
      <c r="I49" s="12" t="s">
        <v>43</v>
      </c>
      <c r="J49" s="12">
        <v>4987</v>
      </c>
      <c r="K49" s="20">
        <f t="shared" si="11"/>
        <v>897.66</v>
      </c>
      <c r="L49" s="20">
        <f t="shared" si="12"/>
        <v>897.66</v>
      </c>
      <c r="M49" s="20">
        <f t="shared" si="13"/>
        <v>897.66</v>
      </c>
      <c r="N49" s="20"/>
      <c r="O49" s="20"/>
      <c r="P49" s="20"/>
      <c r="Q49" s="12"/>
      <c r="R49" s="12"/>
      <c r="S49" s="12"/>
      <c r="T49" s="12"/>
      <c r="U49" s="12"/>
      <c r="V49" s="12"/>
      <c r="W49" s="12">
        <v>900</v>
      </c>
      <c r="X49" s="149" t="s">
        <v>254</v>
      </c>
      <c r="Y49" s="149"/>
      <c r="Z49" s="12" t="s">
        <v>80</v>
      </c>
      <c r="AA49" s="12" t="s">
        <v>81</v>
      </c>
      <c r="AB49" s="12"/>
      <c r="AC49" s="145"/>
      <c r="AD49" s="145"/>
      <c r="AE49" s="145" t="s">
        <v>63</v>
      </c>
    </row>
    <row r="50" s="145" customFormat="1" ht="105" spans="1:31">
      <c r="A50" s="12">
        <v>40</v>
      </c>
      <c r="B50" s="12" t="s">
        <v>255</v>
      </c>
      <c r="C50" s="12" t="s">
        <v>256</v>
      </c>
      <c r="D50" s="12" t="s">
        <v>35</v>
      </c>
      <c r="E50" s="12" t="s">
        <v>39</v>
      </c>
      <c r="F50" s="12" t="s">
        <v>40</v>
      </c>
      <c r="G50" s="12" t="s">
        <v>257</v>
      </c>
      <c r="H50" s="149" t="s">
        <v>258</v>
      </c>
      <c r="I50" s="12" t="s">
        <v>43</v>
      </c>
      <c r="J50" s="12">
        <v>6115</v>
      </c>
      <c r="K50" s="20">
        <f t="shared" si="11"/>
        <v>1100.7</v>
      </c>
      <c r="L50" s="20">
        <f t="shared" si="12"/>
        <v>1100.7</v>
      </c>
      <c r="M50" s="20">
        <f t="shared" si="13"/>
        <v>1100.7</v>
      </c>
      <c r="N50" s="20"/>
      <c r="O50" s="20"/>
      <c r="P50" s="20"/>
      <c r="Q50" s="12"/>
      <c r="R50" s="12"/>
      <c r="S50" s="12"/>
      <c r="T50" s="12"/>
      <c r="U50" s="12"/>
      <c r="V50" s="12"/>
      <c r="W50" s="12">
        <v>1100</v>
      </c>
      <c r="X50" s="149" t="s">
        <v>259</v>
      </c>
      <c r="Y50" s="149"/>
      <c r="Z50" s="12" t="s">
        <v>80</v>
      </c>
      <c r="AA50" s="12" t="s">
        <v>81</v>
      </c>
      <c r="AB50" s="12"/>
      <c r="AC50" s="145"/>
      <c r="AD50" s="145"/>
      <c r="AE50" s="145" t="s">
        <v>63</v>
      </c>
    </row>
    <row r="51" s="145" customFormat="1" ht="105" spans="1:31">
      <c r="A51" s="12">
        <v>41</v>
      </c>
      <c r="B51" s="12" t="s">
        <v>260</v>
      </c>
      <c r="C51" s="12" t="s">
        <v>261</v>
      </c>
      <c r="D51" s="12" t="s">
        <v>35</v>
      </c>
      <c r="E51" s="12" t="s">
        <v>39</v>
      </c>
      <c r="F51" s="12" t="s">
        <v>40</v>
      </c>
      <c r="G51" s="12" t="s">
        <v>262</v>
      </c>
      <c r="H51" s="149" t="s">
        <v>263</v>
      </c>
      <c r="I51" s="12" t="s">
        <v>43</v>
      </c>
      <c r="J51" s="12">
        <v>14640</v>
      </c>
      <c r="K51" s="20">
        <f t="shared" si="11"/>
        <v>2635.2</v>
      </c>
      <c r="L51" s="20">
        <f t="shared" si="12"/>
        <v>2635.2</v>
      </c>
      <c r="M51" s="20">
        <f t="shared" si="13"/>
        <v>2635.2</v>
      </c>
      <c r="N51" s="20"/>
      <c r="O51" s="20"/>
      <c r="P51" s="20"/>
      <c r="Q51" s="12"/>
      <c r="R51" s="12"/>
      <c r="S51" s="12"/>
      <c r="T51" s="12"/>
      <c r="U51" s="12"/>
      <c r="V51" s="12"/>
      <c r="W51" s="12">
        <v>2635</v>
      </c>
      <c r="X51" s="149" t="s">
        <v>264</v>
      </c>
      <c r="Y51" s="149"/>
      <c r="Z51" s="12" t="s">
        <v>80</v>
      </c>
      <c r="AA51" s="12" t="s">
        <v>81</v>
      </c>
      <c r="AB51" s="12"/>
      <c r="AC51" s="145"/>
      <c r="AD51" s="145"/>
      <c r="AE51" s="145" t="s">
        <v>63</v>
      </c>
    </row>
    <row r="52" s="145" customFormat="1" ht="105" spans="1:31">
      <c r="A52" s="12">
        <v>42</v>
      </c>
      <c r="B52" s="12" t="s">
        <v>265</v>
      </c>
      <c r="C52" s="12" t="s">
        <v>266</v>
      </c>
      <c r="D52" s="12" t="s">
        <v>35</v>
      </c>
      <c r="E52" s="12" t="s">
        <v>39</v>
      </c>
      <c r="F52" s="12" t="s">
        <v>40</v>
      </c>
      <c r="G52" s="12" t="s">
        <v>267</v>
      </c>
      <c r="H52" s="149" t="s">
        <v>268</v>
      </c>
      <c r="I52" s="12" t="s">
        <v>43</v>
      </c>
      <c r="J52" s="12">
        <v>2450</v>
      </c>
      <c r="K52" s="20">
        <f t="shared" si="11"/>
        <v>441</v>
      </c>
      <c r="L52" s="20">
        <f t="shared" si="12"/>
        <v>441</v>
      </c>
      <c r="M52" s="20">
        <f t="shared" si="13"/>
        <v>441</v>
      </c>
      <c r="N52" s="20"/>
      <c r="O52" s="20"/>
      <c r="P52" s="20"/>
      <c r="Q52" s="12"/>
      <c r="R52" s="12"/>
      <c r="S52" s="12"/>
      <c r="T52" s="12"/>
      <c r="U52" s="12"/>
      <c r="V52" s="12"/>
      <c r="W52" s="12">
        <v>441</v>
      </c>
      <c r="X52" s="149" t="s">
        <v>269</v>
      </c>
      <c r="Y52" s="149"/>
      <c r="Z52" s="12" t="s">
        <v>80</v>
      </c>
      <c r="AA52" s="12" t="s">
        <v>81</v>
      </c>
      <c r="AB52" s="12"/>
      <c r="AC52" s="145"/>
      <c r="AD52" s="145"/>
      <c r="AE52" s="145" t="s">
        <v>63</v>
      </c>
    </row>
    <row r="53" s="145" customFormat="1" ht="57" customHeight="1" spans="1:28">
      <c r="A53" s="12">
        <v>43</v>
      </c>
      <c r="B53" s="12" t="s">
        <v>270</v>
      </c>
      <c r="C53" s="12" t="s">
        <v>271</v>
      </c>
      <c r="D53" s="12" t="s">
        <v>35</v>
      </c>
      <c r="E53" s="12" t="s">
        <v>39</v>
      </c>
      <c r="F53" s="12" t="s">
        <v>40</v>
      </c>
      <c r="G53" s="12" t="s">
        <v>197</v>
      </c>
      <c r="H53" s="149" t="s">
        <v>272</v>
      </c>
      <c r="I53" s="12" t="s">
        <v>43</v>
      </c>
      <c r="J53" s="12">
        <v>2755</v>
      </c>
      <c r="K53" s="20">
        <f t="shared" si="11"/>
        <v>413.25</v>
      </c>
      <c r="L53" s="20">
        <f t="shared" si="12"/>
        <v>413.25</v>
      </c>
      <c r="M53" s="20">
        <f t="shared" ref="M53:M55" si="14">J53*0.15</f>
        <v>413.25</v>
      </c>
      <c r="N53" s="20"/>
      <c r="O53" s="20"/>
      <c r="P53" s="20"/>
      <c r="Q53" s="12"/>
      <c r="R53" s="12"/>
      <c r="S53" s="12"/>
      <c r="T53" s="12"/>
      <c r="U53" s="12"/>
      <c r="V53" s="12"/>
      <c r="W53" s="12">
        <v>1500</v>
      </c>
      <c r="X53" s="149" t="s">
        <v>273</v>
      </c>
      <c r="Y53" s="149"/>
      <c r="Z53" s="12" t="s">
        <v>80</v>
      </c>
      <c r="AA53" s="12" t="s">
        <v>81</v>
      </c>
      <c r="AB53" s="12"/>
    </row>
    <row r="54" s="145" customFormat="1" ht="63" spans="1:28">
      <c r="A54" s="12">
        <v>44</v>
      </c>
      <c r="B54" s="12" t="s">
        <v>274</v>
      </c>
      <c r="C54" s="12" t="s">
        <v>275</v>
      </c>
      <c r="D54" s="12" t="s">
        <v>35</v>
      </c>
      <c r="E54" s="12" t="s">
        <v>39</v>
      </c>
      <c r="F54" s="12" t="s">
        <v>40</v>
      </c>
      <c r="G54" s="12" t="s">
        <v>202</v>
      </c>
      <c r="H54" s="149" t="s">
        <v>276</v>
      </c>
      <c r="I54" s="12" t="s">
        <v>43</v>
      </c>
      <c r="J54" s="12">
        <v>5000</v>
      </c>
      <c r="K54" s="20">
        <f t="shared" si="11"/>
        <v>750</v>
      </c>
      <c r="L54" s="20">
        <f t="shared" si="12"/>
        <v>750</v>
      </c>
      <c r="M54" s="20">
        <f t="shared" si="14"/>
        <v>750</v>
      </c>
      <c r="N54" s="20"/>
      <c r="O54" s="20"/>
      <c r="P54" s="20"/>
      <c r="Q54" s="12"/>
      <c r="R54" s="12"/>
      <c r="S54" s="12"/>
      <c r="T54" s="12"/>
      <c r="U54" s="12"/>
      <c r="V54" s="12"/>
      <c r="W54" s="12">
        <v>3200</v>
      </c>
      <c r="X54" s="149" t="s">
        <v>277</v>
      </c>
      <c r="Y54" s="149"/>
      <c r="Z54" s="12" t="s">
        <v>80</v>
      </c>
      <c r="AA54" s="12" t="s">
        <v>81</v>
      </c>
      <c r="AB54" s="12"/>
    </row>
    <row r="55" s="145" customFormat="1" ht="63" spans="1:31">
      <c r="A55" s="12">
        <v>45</v>
      </c>
      <c r="B55" s="12" t="s">
        <v>278</v>
      </c>
      <c r="C55" s="12" t="s">
        <v>279</v>
      </c>
      <c r="D55" s="12" t="s">
        <v>35</v>
      </c>
      <c r="E55" s="12" t="s">
        <v>39</v>
      </c>
      <c r="F55" s="12" t="s">
        <v>40</v>
      </c>
      <c r="G55" s="12" t="s">
        <v>212</v>
      </c>
      <c r="H55" s="149" t="s">
        <v>280</v>
      </c>
      <c r="I55" s="12" t="s">
        <v>43</v>
      </c>
      <c r="J55" s="12">
        <v>6000</v>
      </c>
      <c r="K55" s="20">
        <f t="shared" si="11"/>
        <v>900</v>
      </c>
      <c r="L55" s="20">
        <f t="shared" si="12"/>
        <v>900</v>
      </c>
      <c r="M55" s="20">
        <f t="shared" si="14"/>
        <v>900</v>
      </c>
      <c r="N55" s="20"/>
      <c r="O55" s="20"/>
      <c r="P55" s="20"/>
      <c r="Q55" s="12"/>
      <c r="R55" s="12"/>
      <c r="S55" s="12"/>
      <c r="T55" s="12"/>
      <c r="U55" s="12"/>
      <c r="V55" s="12"/>
      <c r="W55" s="12">
        <v>3200</v>
      </c>
      <c r="X55" s="149" t="s">
        <v>281</v>
      </c>
      <c r="Y55" s="149"/>
      <c r="Z55" s="12" t="s">
        <v>80</v>
      </c>
      <c r="AA55" s="12" t="s">
        <v>81</v>
      </c>
      <c r="AB55" s="12"/>
      <c r="AC55" s="145"/>
      <c r="AD55" s="145"/>
      <c r="AE55" s="145" t="s">
        <v>63</v>
      </c>
    </row>
    <row r="56" s="145" customFormat="1" ht="63" spans="1:28">
      <c r="A56" s="12">
        <v>46</v>
      </c>
      <c r="B56" s="12" t="s">
        <v>282</v>
      </c>
      <c r="C56" s="12" t="s">
        <v>283</v>
      </c>
      <c r="D56" s="12" t="s">
        <v>35</v>
      </c>
      <c r="E56" s="12" t="s">
        <v>39</v>
      </c>
      <c r="F56" s="12" t="s">
        <v>40</v>
      </c>
      <c r="G56" s="12" t="s">
        <v>284</v>
      </c>
      <c r="H56" s="149" t="s">
        <v>285</v>
      </c>
      <c r="I56" s="12" t="s">
        <v>43</v>
      </c>
      <c r="J56" s="12">
        <v>280</v>
      </c>
      <c r="K56" s="20">
        <f t="shared" si="11"/>
        <v>42</v>
      </c>
      <c r="L56" s="20">
        <f t="shared" si="12"/>
        <v>42</v>
      </c>
      <c r="M56" s="20">
        <v>42</v>
      </c>
      <c r="N56" s="20"/>
      <c r="O56" s="20"/>
      <c r="P56" s="20"/>
      <c r="Q56" s="12"/>
      <c r="R56" s="12"/>
      <c r="S56" s="12"/>
      <c r="T56" s="12"/>
      <c r="U56" s="12"/>
      <c r="V56" s="12"/>
      <c r="W56" s="12">
        <v>280</v>
      </c>
      <c r="X56" s="149" t="s">
        <v>286</v>
      </c>
      <c r="Y56" s="149"/>
      <c r="Z56" s="12" t="s">
        <v>80</v>
      </c>
      <c r="AA56" s="12" t="s">
        <v>81</v>
      </c>
      <c r="AB56" s="12"/>
    </row>
    <row r="57" s="145" customFormat="1" ht="63" spans="1:28">
      <c r="A57" s="12">
        <v>47</v>
      </c>
      <c r="B57" s="12" t="s">
        <v>287</v>
      </c>
      <c r="C57" s="12" t="s">
        <v>288</v>
      </c>
      <c r="D57" s="12" t="s">
        <v>35</v>
      </c>
      <c r="E57" s="12" t="s">
        <v>39</v>
      </c>
      <c r="F57" s="12" t="s">
        <v>40</v>
      </c>
      <c r="G57" s="12" t="s">
        <v>217</v>
      </c>
      <c r="H57" s="149" t="s">
        <v>289</v>
      </c>
      <c r="I57" s="12" t="s">
        <v>43</v>
      </c>
      <c r="J57" s="12">
        <v>1500</v>
      </c>
      <c r="K57" s="20">
        <f t="shared" si="11"/>
        <v>225</v>
      </c>
      <c r="L57" s="20">
        <f t="shared" si="12"/>
        <v>225</v>
      </c>
      <c r="M57" s="20">
        <v>225</v>
      </c>
      <c r="N57" s="20"/>
      <c r="O57" s="20"/>
      <c r="P57" s="20"/>
      <c r="Q57" s="12"/>
      <c r="R57" s="12"/>
      <c r="S57" s="12"/>
      <c r="T57" s="12"/>
      <c r="U57" s="12"/>
      <c r="V57" s="12"/>
      <c r="W57" s="12">
        <v>1500</v>
      </c>
      <c r="X57" s="149" t="s">
        <v>290</v>
      </c>
      <c r="Y57" s="149"/>
      <c r="Z57" s="12" t="s">
        <v>80</v>
      </c>
      <c r="AA57" s="12" t="s">
        <v>81</v>
      </c>
      <c r="AB57" s="12"/>
    </row>
    <row r="58" s="145" customFormat="1" ht="63" spans="1:28">
      <c r="A58" s="12">
        <v>48</v>
      </c>
      <c r="B58" s="12" t="s">
        <v>291</v>
      </c>
      <c r="C58" s="12" t="s">
        <v>292</v>
      </c>
      <c r="D58" s="12" t="s">
        <v>35</v>
      </c>
      <c r="E58" s="12" t="s">
        <v>39</v>
      </c>
      <c r="F58" s="12" t="s">
        <v>40</v>
      </c>
      <c r="G58" s="12" t="s">
        <v>227</v>
      </c>
      <c r="H58" s="149" t="s">
        <v>293</v>
      </c>
      <c r="I58" s="12" t="s">
        <v>43</v>
      </c>
      <c r="J58" s="12">
        <v>3970</v>
      </c>
      <c r="K58" s="20">
        <f t="shared" si="11"/>
        <v>595.5</v>
      </c>
      <c r="L58" s="20">
        <f t="shared" si="12"/>
        <v>595.5</v>
      </c>
      <c r="M58" s="20">
        <v>595.5</v>
      </c>
      <c r="N58" s="20"/>
      <c r="O58" s="20"/>
      <c r="P58" s="20"/>
      <c r="Q58" s="12"/>
      <c r="R58" s="12"/>
      <c r="S58" s="12"/>
      <c r="T58" s="12"/>
      <c r="U58" s="12"/>
      <c r="V58" s="12"/>
      <c r="W58" s="12">
        <v>3970</v>
      </c>
      <c r="X58" s="149" t="s">
        <v>294</v>
      </c>
      <c r="Y58" s="149"/>
      <c r="Z58" s="12" t="s">
        <v>80</v>
      </c>
      <c r="AA58" s="12" t="s">
        <v>81</v>
      </c>
      <c r="AB58" s="12"/>
    </row>
    <row r="59" s="145" customFormat="1" ht="63" spans="1:28">
      <c r="A59" s="12">
        <v>49</v>
      </c>
      <c r="B59" s="12" t="s">
        <v>295</v>
      </c>
      <c r="C59" s="12" t="s">
        <v>296</v>
      </c>
      <c r="D59" s="12" t="s">
        <v>35</v>
      </c>
      <c r="E59" s="12" t="s">
        <v>39</v>
      </c>
      <c r="F59" s="12" t="s">
        <v>40</v>
      </c>
      <c r="G59" s="12" t="s">
        <v>232</v>
      </c>
      <c r="H59" s="149" t="s">
        <v>297</v>
      </c>
      <c r="I59" s="12" t="s">
        <v>43</v>
      </c>
      <c r="J59" s="12">
        <v>8850</v>
      </c>
      <c r="K59" s="20">
        <v>1327.5</v>
      </c>
      <c r="L59" s="20">
        <v>1327.5</v>
      </c>
      <c r="M59" s="20">
        <f>J59*0.15</f>
        <v>1327.5</v>
      </c>
      <c r="N59" s="20"/>
      <c r="O59" s="20"/>
      <c r="P59" s="20"/>
      <c r="Q59" s="12"/>
      <c r="R59" s="12"/>
      <c r="S59" s="12"/>
      <c r="T59" s="12"/>
      <c r="U59" s="12"/>
      <c r="V59" s="12"/>
      <c r="W59" s="12">
        <v>12000</v>
      </c>
      <c r="X59" s="149" t="s">
        <v>298</v>
      </c>
      <c r="Y59" s="149"/>
      <c r="Z59" s="12" t="s">
        <v>80</v>
      </c>
      <c r="AA59" s="12" t="s">
        <v>81</v>
      </c>
      <c r="AB59" s="12"/>
    </row>
    <row r="60" s="145" customFormat="1" ht="63" spans="1:28">
      <c r="A60" s="12">
        <v>50</v>
      </c>
      <c r="B60" s="12" t="s">
        <v>299</v>
      </c>
      <c r="C60" s="12" t="s">
        <v>300</v>
      </c>
      <c r="D60" s="12" t="s">
        <v>35</v>
      </c>
      <c r="E60" s="12" t="s">
        <v>39</v>
      </c>
      <c r="F60" s="12" t="s">
        <v>40</v>
      </c>
      <c r="G60" s="12" t="s">
        <v>247</v>
      </c>
      <c r="H60" s="149" t="s">
        <v>301</v>
      </c>
      <c r="I60" s="12" t="s">
        <v>43</v>
      </c>
      <c r="J60" s="12">
        <v>6765</v>
      </c>
      <c r="K60" s="20">
        <f t="shared" ref="K60:K64" si="15">SUM(L60,T60,U60,V60)</f>
        <v>1014.75</v>
      </c>
      <c r="L60" s="20">
        <f t="shared" ref="L60:L64" si="16">SUM(M60:S60)</f>
        <v>1014.75</v>
      </c>
      <c r="M60" s="20">
        <v>1014.75</v>
      </c>
      <c r="N60" s="20"/>
      <c r="O60" s="20"/>
      <c r="P60" s="20"/>
      <c r="Q60" s="12"/>
      <c r="R60" s="12"/>
      <c r="S60" s="12"/>
      <c r="T60" s="12"/>
      <c r="U60" s="12"/>
      <c r="V60" s="12"/>
      <c r="W60" s="12">
        <v>6765</v>
      </c>
      <c r="X60" s="149" t="s">
        <v>302</v>
      </c>
      <c r="Y60" s="149"/>
      <c r="Z60" s="12" t="s">
        <v>80</v>
      </c>
      <c r="AA60" s="12" t="s">
        <v>81</v>
      </c>
      <c r="AB60" s="12"/>
    </row>
    <row r="61" s="145" customFormat="1" ht="63" spans="1:31">
      <c r="A61" s="12">
        <v>51</v>
      </c>
      <c r="B61" s="12" t="s">
        <v>303</v>
      </c>
      <c r="C61" s="12" t="s">
        <v>304</v>
      </c>
      <c r="D61" s="12" t="s">
        <v>35</v>
      </c>
      <c r="E61" s="12" t="s">
        <v>39</v>
      </c>
      <c r="F61" s="12" t="s">
        <v>40</v>
      </c>
      <c r="G61" s="12" t="s">
        <v>252</v>
      </c>
      <c r="H61" s="149" t="s">
        <v>305</v>
      </c>
      <c r="I61" s="12" t="s">
        <v>43</v>
      </c>
      <c r="J61" s="12">
        <v>3504</v>
      </c>
      <c r="K61" s="20">
        <f t="shared" si="15"/>
        <v>525.6</v>
      </c>
      <c r="L61" s="20">
        <f t="shared" si="16"/>
        <v>525.6</v>
      </c>
      <c r="M61" s="20">
        <v>525.6</v>
      </c>
      <c r="N61" s="20"/>
      <c r="O61" s="20"/>
      <c r="P61" s="20"/>
      <c r="Q61" s="12"/>
      <c r="R61" s="12"/>
      <c r="S61" s="12"/>
      <c r="T61" s="12"/>
      <c r="U61" s="12"/>
      <c r="V61" s="12"/>
      <c r="W61" s="12">
        <v>3504</v>
      </c>
      <c r="X61" s="149" t="s">
        <v>306</v>
      </c>
      <c r="Y61" s="149"/>
      <c r="Z61" s="12" t="s">
        <v>80</v>
      </c>
      <c r="AA61" s="12" t="s">
        <v>81</v>
      </c>
      <c r="AB61" s="12"/>
      <c r="AC61" s="145"/>
      <c r="AD61" s="145"/>
      <c r="AE61" s="145" t="s">
        <v>63</v>
      </c>
    </row>
    <row r="62" s="145" customFormat="1" ht="63" spans="1:31">
      <c r="A62" s="12">
        <v>52</v>
      </c>
      <c r="B62" s="12" t="s">
        <v>307</v>
      </c>
      <c r="C62" s="12" t="s">
        <v>308</v>
      </c>
      <c r="D62" s="12" t="s">
        <v>35</v>
      </c>
      <c r="E62" s="12" t="s">
        <v>39</v>
      </c>
      <c r="F62" s="12" t="s">
        <v>40</v>
      </c>
      <c r="G62" s="12" t="s">
        <v>257</v>
      </c>
      <c r="H62" s="149" t="s">
        <v>309</v>
      </c>
      <c r="I62" s="12" t="s">
        <v>43</v>
      </c>
      <c r="J62" s="12">
        <v>2150</v>
      </c>
      <c r="K62" s="20">
        <f t="shared" si="15"/>
        <v>322.5</v>
      </c>
      <c r="L62" s="20">
        <f t="shared" si="16"/>
        <v>322.5</v>
      </c>
      <c r="M62" s="20">
        <v>322.5</v>
      </c>
      <c r="N62" s="20"/>
      <c r="O62" s="20"/>
      <c r="P62" s="20"/>
      <c r="Q62" s="12"/>
      <c r="R62" s="12"/>
      <c r="S62" s="12"/>
      <c r="T62" s="12"/>
      <c r="U62" s="12"/>
      <c r="V62" s="12"/>
      <c r="W62" s="12">
        <v>1000</v>
      </c>
      <c r="X62" s="149" t="s">
        <v>310</v>
      </c>
      <c r="Y62" s="149"/>
      <c r="Z62" s="12" t="s">
        <v>80</v>
      </c>
      <c r="AA62" s="12" t="s">
        <v>81</v>
      </c>
      <c r="AB62" s="12"/>
      <c r="AC62" s="145"/>
      <c r="AD62" s="145"/>
      <c r="AE62" s="145" t="s">
        <v>63</v>
      </c>
    </row>
    <row r="63" s="145" customFormat="1" ht="63" spans="1:31">
      <c r="A63" s="12">
        <v>53</v>
      </c>
      <c r="B63" s="12" t="s">
        <v>311</v>
      </c>
      <c r="C63" s="12" t="s">
        <v>312</v>
      </c>
      <c r="D63" s="12" t="s">
        <v>35</v>
      </c>
      <c r="E63" s="12" t="s">
        <v>39</v>
      </c>
      <c r="F63" s="12" t="s">
        <v>40</v>
      </c>
      <c r="G63" s="12" t="s">
        <v>262</v>
      </c>
      <c r="H63" s="149" t="s">
        <v>313</v>
      </c>
      <c r="I63" s="12" t="s">
        <v>43</v>
      </c>
      <c r="J63" s="12">
        <v>8000</v>
      </c>
      <c r="K63" s="20">
        <f t="shared" si="15"/>
        <v>1200</v>
      </c>
      <c r="L63" s="20">
        <f t="shared" si="16"/>
        <v>1200</v>
      </c>
      <c r="M63" s="20">
        <f>J63*0.15</f>
        <v>1200</v>
      </c>
      <c r="N63" s="20"/>
      <c r="O63" s="20"/>
      <c r="P63" s="20"/>
      <c r="Q63" s="12"/>
      <c r="R63" s="12"/>
      <c r="S63" s="12"/>
      <c r="T63" s="12"/>
      <c r="U63" s="12"/>
      <c r="V63" s="12"/>
      <c r="W63" s="12">
        <v>2670</v>
      </c>
      <c r="X63" s="149" t="s">
        <v>314</v>
      </c>
      <c r="Y63" s="149"/>
      <c r="Z63" s="12" t="s">
        <v>80</v>
      </c>
      <c r="AA63" s="12" t="s">
        <v>81</v>
      </c>
      <c r="AB63" s="12"/>
      <c r="AC63" s="145"/>
      <c r="AD63" s="145"/>
      <c r="AE63" s="145" t="s">
        <v>63</v>
      </c>
    </row>
    <row r="64" s="145" customFormat="1" ht="63" spans="1:31">
      <c r="A64" s="12">
        <v>54</v>
      </c>
      <c r="B64" s="12" t="s">
        <v>315</v>
      </c>
      <c r="C64" s="12" t="s">
        <v>316</v>
      </c>
      <c r="D64" s="12" t="s">
        <v>35</v>
      </c>
      <c r="E64" s="12" t="s">
        <v>39</v>
      </c>
      <c r="F64" s="12" t="s">
        <v>40</v>
      </c>
      <c r="G64" s="12" t="s">
        <v>267</v>
      </c>
      <c r="H64" s="149" t="s">
        <v>317</v>
      </c>
      <c r="I64" s="12" t="s">
        <v>43</v>
      </c>
      <c r="J64" s="12">
        <v>4110</v>
      </c>
      <c r="K64" s="20">
        <f t="shared" si="15"/>
        <v>616.5</v>
      </c>
      <c r="L64" s="20">
        <f t="shared" si="16"/>
        <v>616.5</v>
      </c>
      <c r="M64" s="20">
        <v>616.5</v>
      </c>
      <c r="N64" s="20"/>
      <c r="O64" s="20"/>
      <c r="P64" s="20"/>
      <c r="Q64" s="12"/>
      <c r="R64" s="12"/>
      <c r="S64" s="12"/>
      <c r="T64" s="12"/>
      <c r="U64" s="12"/>
      <c r="V64" s="12"/>
      <c r="W64" s="12">
        <v>4110</v>
      </c>
      <c r="X64" s="149" t="s">
        <v>318</v>
      </c>
      <c r="Y64" s="149"/>
      <c r="Z64" s="12" t="s">
        <v>80</v>
      </c>
      <c r="AA64" s="12" t="s">
        <v>81</v>
      </c>
      <c r="AB64" s="12"/>
      <c r="AC64" s="145"/>
      <c r="AD64" s="145"/>
      <c r="AE64" s="145" t="s">
        <v>63</v>
      </c>
    </row>
    <row r="65" s="144" customFormat="1" ht="43" customHeight="1" spans="1:31">
      <c r="A65" s="150" t="s">
        <v>319</v>
      </c>
      <c r="B65" s="150"/>
      <c r="C65" s="150"/>
      <c r="D65" s="106"/>
      <c r="E65" s="11"/>
      <c r="F65" s="11"/>
      <c r="G65" s="11"/>
      <c r="H65" s="11">
        <v>7</v>
      </c>
      <c r="I65" s="117"/>
      <c r="J65" s="117"/>
      <c r="K65" s="18">
        <f t="shared" ref="K65:V65" si="17">SUM(K66:K72)</f>
        <v>7591.35</v>
      </c>
      <c r="L65" s="18">
        <f t="shared" si="17"/>
        <v>7591.35</v>
      </c>
      <c r="M65" s="18">
        <f t="shared" si="17"/>
        <v>7405.35</v>
      </c>
      <c r="N65" s="18">
        <f t="shared" si="17"/>
        <v>0</v>
      </c>
      <c r="O65" s="18">
        <f t="shared" si="17"/>
        <v>0</v>
      </c>
      <c r="P65" s="18">
        <f t="shared" si="17"/>
        <v>0</v>
      </c>
      <c r="Q65" s="18">
        <f t="shared" si="17"/>
        <v>101</v>
      </c>
      <c r="R65" s="18">
        <f t="shared" si="17"/>
        <v>85</v>
      </c>
      <c r="S65" s="18">
        <f t="shared" si="17"/>
        <v>0</v>
      </c>
      <c r="T65" s="18">
        <f t="shared" si="17"/>
        <v>0</v>
      </c>
      <c r="U65" s="18">
        <f t="shared" si="17"/>
        <v>0</v>
      </c>
      <c r="V65" s="18">
        <f t="shared" si="17"/>
        <v>0</v>
      </c>
      <c r="W65" s="11"/>
      <c r="X65" s="150"/>
      <c r="Y65" s="150"/>
      <c r="Z65" s="123"/>
      <c r="AA65" s="123"/>
      <c r="AB65" s="123"/>
      <c r="AC65" s="144"/>
      <c r="AD65" s="144"/>
      <c r="AE65" s="145"/>
    </row>
    <row r="66" s="145" customFormat="1" ht="130" customHeight="1" spans="1:31">
      <c r="A66" s="12">
        <v>55</v>
      </c>
      <c r="B66" s="12" t="s">
        <v>320</v>
      </c>
      <c r="C66" s="12" t="s">
        <v>321</v>
      </c>
      <c r="D66" s="12" t="s">
        <v>35</v>
      </c>
      <c r="E66" s="12" t="s">
        <v>39</v>
      </c>
      <c r="F66" s="12" t="s">
        <v>40</v>
      </c>
      <c r="G66" s="12" t="s">
        <v>202</v>
      </c>
      <c r="H66" s="149" t="s">
        <v>322</v>
      </c>
      <c r="I66" s="12" t="s">
        <v>43</v>
      </c>
      <c r="J66" s="12">
        <v>600</v>
      </c>
      <c r="K66" s="20">
        <f t="shared" ref="K66:K72" si="18">SUM(L66,T66,U66,V66)</f>
        <v>120</v>
      </c>
      <c r="L66" s="20">
        <f t="shared" ref="L66:L72" si="19">SUM(M66:S66)</f>
        <v>120</v>
      </c>
      <c r="M66" s="20">
        <v>120</v>
      </c>
      <c r="N66" s="20"/>
      <c r="O66" s="20"/>
      <c r="P66" s="20"/>
      <c r="Q66" s="12"/>
      <c r="R66" s="12"/>
      <c r="S66" s="12"/>
      <c r="T66" s="12"/>
      <c r="U66" s="12"/>
      <c r="V66" s="12"/>
      <c r="W66" s="12">
        <v>3500</v>
      </c>
      <c r="X66" s="149" t="s">
        <v>323</v>
      </c>
      <c r="Y66" s="149"/>
      <c r="Z66" s="12" t="s">
        <v>80</v>
      </c>
      <c r="AA66" s="12" t="s">
        <v>81</v>
      </c>
      <c r="AB66" s="12"/>
      <c r="AC66" s="145"/>
      <c r="AD66" s="145"/>
      <c r="AE66" s="145" t="s">
        <v>63</v>
      </c>
    </row>
    <row r="67" s="145" customFormat="1" ht="130" customHeight="1" spans="1:31">
      <c r="A67" s="12">
        <v>56</v>
      </c>
      <c r="B67" s="12" t="s">
        <v>324</v>
      </c>
      <c r="C67" s="12" t="s">
        <v>325</v>
      </c>
      <c r="D67" s="12" t="s">
        <v>35</v>
      </c>
      <c r="E67" s="12" t="s">
        <v>39</v>
      </c>
      <c r="F67" s="12" t="s">
        <v>40</v>
      </c>
      <c r="G67" s="12" t="s">
        <v>326</v>
      </c>
      <c r="H67" s="149" t="s">
        <v>327</v>
      </c>
      <c r="I67" s="12" t="s">
        <v>43</v>
      </c>
      <c r="J67" s="12">
        <v>280</v>
      </c>
      <c r="K67" s="20">
        <f t="shared" si="18"/>
        <v>101</v>
      </c>
      <c r="L67" s="20">
        <f t="shared" si="19"/>
        <v>101</v>
      </c>
      <c r="M67" s="20"/>
      <c r="N67" s="20"/>
      <c r="O67" s="20"/>
      <c r="P67" s="20"/>
      <c r="Q67" s="12">
        <v>101</v>
      </c>
      <c r="R67" s="12"/>
      <c r="S67" s="12"/>
      <c r="T67" s="12"/>
      <c r="U67" s="12"/>
      <c r="V67" s="12"/>
      <c r="W67" s="12">
        <v>500</v>
      </c>
      <c r="X67" s="149" t="s">
        <v>328</v>
      </c>
      <c r="Y67" s="149"/>
      <c r="Z67" s="12" t="s">
        <v>80</v>
      </c>
      <c r="AA67" s="12" t="s">
        <v>81</v>
      </c>
      <c r="AB67" s="12"/>
      <c r="AC67" s="145"/>
      <c r="AD67" s="145"/>
      <c r="AE67" s="145" t="s">
        <v>63</v>
      </c>
    </row>
    <row r="68" s="145" customFormat="1" ht="152" customHeight="1" spans="1:28">
      <c r="A68" s="12">
        <v>57</v>
      </c>
      <c r="B68" s="12" t="s">
        <v>329</v>
      </c>
      <c r="C68" s="12" t="s">
        <v>330</v>
      </c>
      <c r="D68" s="12" t="s">
        <v>35</v>
      </c>
      <c r="E68" s="12" t="s">
        <v>39</v>
      </c>
      <c r="F68" s="12" t="s">
        <v>40</v>
      </c>
      <c r="G68" s="12" t="s">
        <v>331</v>
      </c>
      <c r="H68" s="149" t="s">
        <v>332</v>
      </c>
      <c r="I68" s="12" t="s">
        <v>333</v>
      </c>
      <c r="J68" s="12">
        <v>6.6</v>
      </c>
      <c r="K68" s="20">
        <f t="shared" si="18"/>
        <v>528</v>
      </c>
      <c r="L68" s="20">
        <f t="shared" si="19"/>
        <v>528</v>
      </c>
      <c r="M68" s="20">
        <v>528</v>
      </c>
      <c r="N68" s="20"/>
      <c r="O68" s="20"/>
      <c r="P68" s="20"/>
      <c r="Q68" s="12"/>
      <c r="R68" s="12"/>
      <c r="S68" s="12"/>
      <c r="T68" s="12"/>
      <c r="U68" s="12"/>
      <c r="V68" s="12"/>
      <c r="W68" s="12">
        <v>120000</v>
      </c>
      <c r="X68" s="149" t="s">
        <v>334</v>
      </c>
      <c r="Y68" s="149"/>
      <c r="Z68" s="12" t="s">
        <v>45</v>
      </c>
      <c r="AA68" s="12" t="s">
        <v>46</v>
      </c>
      <c r="AB68" s="12"/>
    </row>
    <row r="69" s="145" customFormat="1" ht="152" customHeight="1" spans="1:28">
      <c r="A69" s="12">
        <v>58</v>
      </c>
      <c r="B69" s="12" t="s">
        <v>335</v>
      </c>
      <c r="C69" s="12" t="s">
        <v>336</v>
      </c>
      <c r="D69" s="12" t="s">
        <v>35</v>
      </c>
      <c r="E69" s="12" t="s">
        <v>39</v>
      </c>
      <c r="F69" s="12" t="s">
        <v>40</v>
      </c>
      <c r="G69" s="12" t="s">
        <v>337</v>
      </c>
      <c r="H69" s="149" t="s">
        <v>338</v>
      </c>
      <c r="I69" s="12" t="s">
        <v>43</v>
      </c>
      <c r="J69" s="12">
        <f>32698+1400</f>
        <v>34098</v>
      </c>
      <c r="K69" s="20">
        <f t="shared" si="18"/>
        <v>2557.35</v>
      </c>
      <c r="L69" s="20">
        <f t="shared" si="19"/>
        <v>2557.35</v>
      </c>
      <c r="M69" s="20">
        <f>J69*0.075</f>
        <v>2557.35</v>
      </c>
      <c r="N69" s="20"/>
      <c r="O69" s="20"/>
      <c r="P69" s="20"/>
      <c r="Q69" s="12"/>
      <c r="R69" s="12"/>
      <c r="S69" s="12"/>
      <c r="T69" s="12"/>
      <c r="U69" s="12"/>
      <c r="V69" s="12"/>
      <c r="W69" s="12">
        <v>32698</v>
      </c>
      <c r="X69" s="149" t="s">
        <v>334</v>
      </c>
      <c r="Y69" s="149"/>
      <c r="Z69" s="12" t="s">
        <v>45</v>
      </c>
      <c r="AA69" s="12" t="s">
        <v>46</v>
      </c>
      <c r="AB69" s="12"/>
    </row>
    <row r="70" s="145" customFormat="1" ht="118" customHeight="1" spans="1:31">
      <c r="A70" s="12">
        <v>59</v>
      </c>
      <c r="B70" s="12" t="s">
        <v>339</v>
      </c>
      <c r="C70" s="12" t="s">
        <v>340</v>
      </c>
      <c r="D70" s="12" t="s">
        <v>35</v>
      </c>
      <c r="E70" s="12" t="s">
        <v>39</v>
      </c>
      <c r="F70" s="12" t="s">
        <v>40</v>
      </c>
      <c r="G70" s="12" t="s">
        <v>341</v>
      </c>
      <c r="H70" s="15" t="s">
        <v>342</v>
      </c>
      <c r="I70" s="19" t="s">
        <v>43</v>
      </c>
      <c r="J70" s="12">
        <v>280</v>
      </c>
      <c r="K70" s="20">
        <f t="shared" si="18"/>
        <v>85</v>
      </c>
      <c r="L70" s="20">
        <f t="shared" si="19"/>
        <v>85</v>
      </c>
      <c r="M70" s="20"/>
      <c r="N70" s="160"/>
      <c r="O70" s="20"/>
      <c r="P70" s="20"/>
      <c r="Q70" s="12"/>
      <c r="R70" s="12">
        <v>85</v>
      </c>
      <c r="S70" s="12"/>
      <c r="T70" s="12"/>
      <c r="U70" s="12"/>
      <c r="V70" s="12"/>
      <c r="W70" s="12">
        <v>280</v>
      </c>
      <c r="X70" s="149" t="s">
        <v>343</v>
      </c>
      <c r="Y70" s="149"/>
      <c r="Z70" s="12" t="s">
        <v>45</v>
      </c>
      <c r="AA70" s="12" t="s">
        <v>46</v>
      </c>
      <c r="AB70" s="12"/>
      <c r="AC70" s="145"/>
      <c r="AD70" s="145"/>
      <c r="AE70" s="145" t="s">
        <v>63</v>
      </c>
    </row>
    <row r="71" s="145" customFormat="1" ht="83" customHeight="1" spans="1:28">
      <c r="A71" s="12">
        <v>60</v>
      </c>
      <c r="B71" s="12" t="s">
        <v>344</v>
      </c>
      <c r="C71" s="12" t="s">
        <v>345</v>
      </c>
      <c r="D71" s="12" t="s">
        <v>35</v>
      </c>
      <c r="E71" s="12" t="s">
        <v>39</v>
      </c>
      <c r="F71" s="12" t="s">
        <v>40</v>
      </c>
      <c r="G71" s="12" t="s">
        <v>185</v>
      </c>
      <c r="H71" s="149" t="s">
        <v>346</v>
      </c>
      <c r="I71" s="12" t="s">
        <v>333</v>
      </c>
      <c r="J71" s="12">
        <v>60</v>
      </c>
      <c r="K71" s="20">
        <f t="shared" si="18"/>
        <v>1800</v>
      </c>
      <c r="L71" s="20">
        <f t="shared" si="19"/>
        <v>1800</v>
      </c>
      <c r="M71" s="20">
        <v>1800</v>
      </c>
      <c r="N71" s="20"/>
      <c r="O71" s="20"/>
      <c r="P71" s="20"/>
      <c r="Q71" s="12"/>
      <c r="R71" s="12"/>
      <c r="S71" s="12"/>
      <c r="T71" s="12"/>
      <c r="U71" s="12"/>
      <c r="V71" s="12"/>
      <c r="W71" s="12">
        <v>420000</v>
      </c>
      <c r="X71" s="149" t="s">
        <v>347</v>
      </c>
      <c r="Y71" s="149"/>
      <c r="Z71" s="12" t="s">
        <v>45</v>
      </c>
      <c r="AA71" s="12" t="s">
        <v>46</v>
      </c>
      <c r="AB71" s="12"/>
    </row>
    <row r="72" s="145" customFormat="1" ht="83" customHeight="1" spans="1:28">
      <c r="A72" s="12">
        <v>61</v>
      </c>
      <c r="B72" s="12" t="s">
        <v>348</v>
      </c>
      <c r="C72" s="12" t="s">
        <v>349</v>
      </c>
      <c r="D72" s="12" t="s">
        <v>35</v>
      </c>
      <c r="E72" s="12" t="s">
        <v>39</v>
      </c>
      <c r="F72" s="12" t="s">
        <v>40</v>
      </c>
      <c r="G72" s="12" t="s">
        <v>185</v>
      </c>
      <c r="H72" s="149" t="s">
        <v>350</v>
      </c>
      <c r="I72" s="12" t="s">
        <v>333</v>
      </c>
      <c r="J72" s="12">
        <v>20</v>
      </c>
      <c r="K72" s="20">
        <f t="shared" si="18"/>
        <v>2400</v>
      </c>
      <c r="L72" s="20">
        <f t="shared" si="19"/>
        <v>2400</v>
      </c>
      <c r="M72" s="20">
        <v>2400</v>
      </c>
      <c r="N72" s="20"/>
      <c r="O72" s="20"/>
      <c r="P72" s="20"/>
      <c r="Q72" s="12"/>
      <c r="R72" s="12"/>
      <c r="S72" s="12"/>
      <c r="T72" s="12"/>
      <c r="U72" s="12"/>
      <c r="V72" s="12"/>
      <c r="W72" s="12">
        <v>420000</v>
      </c>
      <c r="X72" s="149" t="s">
        <v>351</v>
      </c>
      <c r="Y72" s="149"/>
      <c r="Z72" s="12" t="s">
        <v>45</v>
      </c>
      <c r="AA72" s="12" t="s">
        <v>46</v>
      </c>
      <c r="AB72" s="12"/>
    </row>
    <row r="73" s="144" customFormat="1" ht="43" customHeight="1" spans="1:31">
      <c r="A73" s="150" t="s">
        <v>352</v>
      </c>
      <c r="B73" s="150"/>
      <c r="C73" s="150"/>
      <c r="D73" s="106"/>
      <c r="E73" s="11"/>
      <c r="F73" s="11"/>
      <c r="G73" s="11"/>
      <c r="H73" s="11">
        <v>7</v>
      </c>
      <c r="I73" s="117"/>
      <c r="J73" s="117"/>
      <c r="K73" s="18">
        <f t="shared" ref="K73:M73" si="20">SUM(K74:K80)</f>
        <v>11057.69</v>
      </c>
      <c r="L73" s="18">
        <f t="shared" si="20"/>
        <v>11057.69</v>
      </c>
      <c r="M73" s="18">
        <f t="shared" si="20"/>
        <v>11057.69</v>
      </c>
      <c r="N73" s="18">
        <f t="shared" ref="N73:V73" si="21">SUM(N76:N80)</f>
        <v>0</v>
      </c>
      <c r="O73" s="18">
        <f t="shared" si="21"/>
        <v>0</v>
      </c>
      <c r="P73" s="18">
        <f t="shared" si="21"/>
        <v>0</v>
      </c>
      <c r="Q73" s="18">
        <f t="shared" si="21"/>
        <v>0</v>
      </c>
      <c r="R73" s="18">
        <f t="shared" si="21"/>
        <v>0</v>
      </c>
      <c r="S73" s="18">
        <f t="shared" si="21"/>
        <v>0</v>
      </c>
      <c r="T73" s="18">
        <f t="shared" si="21"/>
        <v>0</v>
      </c>
      <c r="U73" s="18">
        <f t="shared" si="21"/>
        <v>0</v>
      </c>
      <c r="V73" s="18">
        <f t="shared" si="21"/>
        <v>0</v>
      </c>
      <c r="W73" s="11"/>
      <c r="X73" s="150"/>
      <c r="Y73" s="150"/>
      <c r="Z73" s="123"/>
      <c r="AA73" s="123"/>
      <c r="AB73" s="123"/>
      <c r="AC73" s="144"/>
      <c r="AD73" s="144"/>
      <c r="AE73" s="145"/>
    </row>
    <row r="74" s="145" customFormat="1" ht="128" customHeight="1" spans="1:28">
      <c r="A74" s="12">
        <v>62</v>
      </c>
      <c r="B74" s="12" t="s">
        <v>353</v>
      </c>
      <c r="C74" s="12" t="s">
        <v>354</v>
      </c>
      <c r="D74" s="12" t="s">
        <v>35</v>
      </c>
      <c r="E74" s="12" t="s">
        <v>39</v>
      </c>
      <c r="F74" s="12" t="s">
        <v>40</v>
      </c>
      <c r="G74" s="12" t="s">
        <v>242</v>
      </c>
      <c r="H74" s="149" t="s">
        <v>355</v>
      </c>
      <c r="I74" s="12" t="s">
        <v>43</v>
      </c>
      <c r="J74" s="12">
        <v>1300</v>
      </c>
      <c r="K74" s="20">
        <f t="shared" ref="K74:K80" si="22">SUM(L74,T74:V74)</f>
        <v>182.8</v>
      </c>
      <c r="L74" s="20">
        <f t="shared" ref="L74:L80" si="23">SUM(M74:S74)</f>
        <v>182.8</v>
      </c>
      <c r="M74" s="20">
        <v>182.8</v>
      </c>
      <c r="N74" s="20"/>
      <c r="O74" s="20"/>
      <c r="P74" s="20"/>
      <c r="Q74" s="12"/>
      <c r="R74" s="12"/>
      <c r="S74" s="12"/>
      <c r="T74" s="12"/>
      <c r="U74" s="12"/>
      <c r="V74" s="12"/>
      <c r="W74" s="12">
        <v>300</v>
      </c>
      <c r="X74" s="149" t="s">
        <v>356</v>
      </c>
      <c r="Y74" s="149"/>
      <c r="Z74" s="12" t="s">
        <v>80</v>
      </c>
      <c r="AA74" s="12" t="s">
        <v>81</v>
      </c>
      <c r="AB74" s="12" t="s">
        <v>357</v>
      </c>
    </row>
    <row r="75" s="145" customFormat="1" ht="174" customHeight="1" spans="1:28">
      <c r="A75" s="12">
        <v>63</v>
      </c>
      <c r="B75" s="12" t="s">
        <v>358</v>
      </c>
      <c r="C75" s="12" t="s">
        <v>359</v>
      </c>
      <c r="D75" s="12" t="s">
        <v>35</v>
      </c>
      <c r="E75" s="12" t="s">
        <v>39</v>
      </c>
      <c r="F75" s="12" t="s">
        <v>40</v>
      </c>
      <c r="G75" s="12" t="s">
        <v>360</v>
      </c>
      <c r="H75" s="149" t="s">
        <v>361</v>
      </c>
      <c r="I75" s="12" t="s">
        <v>164</v>
      </c>
      <c r="J75" s="12">
        <v>87</v>
      </c>
      <c r="K75" s="20">
        <f t="shared" si="22"/>
        <v>69.89</v>
      </c>
      <c r="L75" s="20">
        <f t="shared" si="23"/>
        <v>69.89</v>
      </c>
      <c r="M75" s="20">
        <v>69.89</v>
      </c>
      <c r="N75" s="20"/>
      <c r="O75" s="20"/>
      <c r="P75" s="20"/>
      <c r="Q75" s="12"/>
      <c r="R75" s="12"/>
      <c r="S75" s="12"/>
      <c r="T75" s="12"/>
      <c r="U75" s="12"/>
      <c r="V75" s="12"/>
      <c r="W75" s="12">
        <v>870</v>
      </c>
      <c r="X75" s="149" t="s">
        <v>362</v>
      </c>
      <c r="Y75" s="149" t="s">
        <v>363</v>
      </c>
      <c r="Z75" s="12" t="s">
        <v>80</v>
      </c>
      <c r="AA75" s="12" t="s">
        <v>81</v>
      </c>
      <c r="AB75" s="12"/>
    </row>
    <row r="76" s="145" customFormat="1" ht="101" customHeight="1" spans="1:28">
      <c r="A76" s="12">
        <v>64</v>
      </c>
      <c r="B76" s="12" t="s">
        <v>364</v>
      </c>
      <c r="C76" s="12" t="s">
        <v>365</v>
      </c>
      <c r="D76" s="12" t="s">
        <v>35</v>
      </c>
      <c r="E76" s="12" t="s">
        <v>39</v>
      </c>
      <c r="F76" s="12" t="s">
        <v>40</v>
      </c>
      <c r="G76" s="12" t="s">
        <v>366</v>
      </c>
      <c r="H76" s="149" t="s">
        <v>367</v>
      </c>
      <c r="I76" s="12" t="s">
        <v>164</v>
      </c>
      <c r="J76" s="12">
        <v>100</v>
      </c>
      <c r="K76" s="20">
        <f t="shared" si="22"/>
        <v>2800</v>
      </c>
      <c r="L76" s="20">
        <f t="shared" si="23"/>
        <v>2800</v>
      </c>
      <c r="M76" s="20">
        <v>2800</v>
      </c>
      <c r="N76" s="20"/>
      <c r="O76" s="20"/>
      <c r="P76" s="20"/>
      <c r="Q76" s="12"/>
      <c r="R76" s="12"/>
      <c r="S76" s="12"/>
      <c r="T76" s="12"/>
      <c r="U76" s="12"/>
      <c r="V76" s="12"/>
      <c r="W76" s="12">
        <v>950</v>
      </c>
      <c r="X76" s="149" t="s">
        <v>368</v>
      </c>
      <c r="Y76" s="149"/>
      <c r="Z76" s="12" t="s">
        <v>369</v>
      </c>
      <c r="AA76" s="12" t="s">
        <v>370</v>
      </c>
      <c r="AB76" s="12"/>
    </row>
    <row r="77" s="145" customFormat="1" ht="101" customHeight="1" spans="1:28">
      <c r="A77" s="12">
        <v>65</v>
      </c>
      <c r="B77" s="12" t="s">
        <v>371</v>
      </c>
      <c r="C77" s="12" t="s">
        <v>372</v>
      </c>
      <c r="D77" s="12" t="s">
        <v>35</v>
      </c>
      <c r="E77" s="14" t="s">
        <v>39</v>
      </c>
      <c r="F77" s="14" t="s">
        <v>40</v>
      </c>
      <c r="G77" s="12" t="s">
        <v>373</v>
      </c>
      <c r="H77" s="15" t="s">
        <v>374</v>
      </c>
      <c r="I77" s="14" t="s">
        <v>164</v>
      </c>
      <c r="J77" s="14">
        <v>75</v>
      </c>
      <c r="K77" s="20">
        <f t="shared" si="22"/>
        <v>1875</v>
      </c>
      <c r="L77" s="20">
        <f t="shared" si="23"/>
        <v>1875</v>
      </c>
      <c r="M77" s="20">
        <v>1875</v>
      </c>
      <c r="N77" s="20"/>
      <c r="O77" s="20"/>
      <c r="P77" s="20"/>
      <c r="Q77" s="12"/>
      <c r="R77" s="12"/>
      <c r="S77" s="12"/>
      <c r="T77" s="12"/>
      <c r="U77" s="12"/>
      <c r="V77" s="12"/>
      <c r="W77" s="12">
        <v>576</v>
      </c>
      <c r="X77" s="149" t="s">
        <v>375</v>
      </c>
      <c r="Y77" s="149"/>
      <c r="Z77" s="12" t="s">
        <v>369</v>
      </c>
      <c r="AA77" s="12" t="s">
        <v>370</v>
      </c>
      <c r="AB77" s="12"/>
    </row>
    <row r="78" s="145" customFormat="1" ht="101" customHeight="1" spans="1:31">
      <c r="A78" s="12">
        <v>66</v>
      </c>
      <c r="B78" s="12" t="s">
        <v>376</v>
      </c>
      <c r="C78" s="12" t="s">
        <v>377</v>
      </c>
      <c r="D78" s="12" t="s">
        <v>35</v>
      </c>
      <c r="E78" s="14" t="s">
        <v>39</v>
      </c>
      <c r="F78" s="14" t="s">
        <v>40</v>
      </c>
      <c r="G78" s="12" t="s">
        <v>378</v>
      </c>
      <c r="H78" s="15" t="s">
        <v>379</v>
      </c>
      <c r="I78" s="14" t="s">
        <v>164</v>
      </c>
      <c r="J78" s="14">
        <v>10</v>
      </c>
      <c r="K78" s="20">
        <f t="shared" si="22"/>
        <v>250</v>
      </c>
      <c r="L78" s="20">
        <f t="shared" si="23"/>
        <v>250</v>
      </c>
      <c r="M78" s="20">
        <v>250</v>
      </c>
      <c r="N78" s="20"/>
      <c r="O78" s="20"/>
      <c r="P78" s="20"/>
      <c r="Q78" s="12"/>
      <c r="R78" s="12"/>
      <c r="S78" s="12"/>
      <c r="T78" s="12"/>
      <c r="U78" s="12"/>
      <c r="V78" s="12"/>
      <c r="W78" s="12">
        <v>250</v>
      </c>
      <c r="X78" s="149" t="s">
        <v>380</v>
      </c>
      <c r="Y78" s="149"/>
      <c r="Z78" s="12" t="s">
        <v>369</v>
      </c>
      <c r="AA78" s="12" t="s">
        <v>370</v>
      </c>
      <c r="AB78" s="12"/>
      <c r="AC78" s="145"/>
      <c r="AD78" s="145"/>
      <c r="AE78" s="145" t="s">
        <v>63</v>
      </c>
    </row>
    <row r="79" s="145" customFormat="1" ht="121" customHeight="1" spans="1:31">
      <c r="A79" s="12">
        <v>67</v>
      </c>
      <c r="B79" s="12" t="s">
        <v>381</v>
      </c>
      <c r="C79" s="12" t="s">
        <v>382</v>
      </c>
      <c r="D79" s="12" t="s">
        <v>35</v>
      </c>
      <c r="E79" s="12" t="s">
        <v>39</v>
      </c>
      <c r="F79" s="12" t="s">
        <v>40</v>
      </c>
      <c r="G79" s="12" t="s">
        <v>383</v>
      </c>
      <c r="H79" s="149" t="s">
        <v>384</v>
      </c>
      <c r="I79" s="12" t="s">
        <v>385</v>
      </c>
      <c r="J79" s="12">
        <v>4.9</v>
      </c>
      <c r="K79" s="20">
        <f t="shared" si="22"/>
        <v>2980</v>
      </c>
      <c r="L79" s="20">
        <f t="shared" si="23"/>
        <v>2980</v>
      </c>
      <c r="M79" s="20">
        <v>2980</v>
      </c>
      <c r="N79" s="20"/>
      <c r="O79" s="20"/>
      <c r="P79" s="20"/>
      <c r="Q79" s="12"/>
      <c r="R79" s="12"/>
      <c r="S79" s="12"/>
      <c r="T79" s="12"/>
      <c r="U79" s="12"/>
      <c r="V79" s="12"/>
      <c r="W79" s="12">
        <v>1500</v>
      </c>
      <c r="X79" s="149" t="s">
        <v>386</v>
      </c>
      <c r="Y79" s="149" t="s">
        <v>387</v>
      </c>
      <c r="Z79" s="12" t="s">
        <v>369</v>
      </c>
      <c r="AA79" s="12" t="s">
        <v>370</v>
      </c>
      <c r="AB79" s="12"/>
      <c r="AC79" s="145"/>
      <c r="AD79" s="145"/>
      <c r="AE79" s="145" t="s">
        <v>63</v>
      </c>
    </row>
    <row r="80" s="145" customFormat="1" ht="110" customHeight="1" spans="1:28">
      <c r="A80" s="12">
        <v>68</v>
      </c>
      <c r="B80" s="12" t="s">
        <v>388</v>
      </c>
      <c r="C80" s="12" t="s">
        <v>389</v>
      </c>
      <c r="D80" s="12" t="s">
        <v>35</v>
      </c>
      <c r="E80" s="12" t="s">
        <v>390</v>
      </c>
      <c r="F80" s="12" t="s">
        <v>40</v>
      </c>
      <c r="G80" s="12" t="s">
        <v>391</v>
      </c>
      <c r="H80" s="149" t="s">
        <v>392</v>
      </c>
      <c r="I80" s="12" t="s">
        <v>393</v>
      </c>
      <c r="J80" s="12">
        <v>2000</v>
      </c>
      <c r="K80" s="20">
        <f t="shared" si="22"/>
        <v>2900</v>
      </c>
      <c r="L80" s="20">
        <f t="shared" si="23"/>
        <v>2900</v>
      </c>
      <c r="M80" s="20">
        <v>2900</v>
      </c>
      <c r="N80" s="20"/>
      <c r="O80" s="20"/>
      <c r="P80" s="20"/>
      <c r="Q80" s="12"/>
      <c r="R80" s="12"/>
      <c r="S80" s="12"/>
      <c r="T80" s="12"/>
      <c r="U80" s="12"/>
      <c r="V80" s="12"/>
      <c r="W80" s="12">
        <v>2000</v>
      </c>
      <c r="X80" s="149" t="s">
        <v>394</v>
      </c>
      <c r="Y80" s="149" t="s">
        <v>395</v>
      </c>
      <c r="Z80" s="12" t="s">
        <v>396</v>
      </c>
      <c r="AA80" s="12" t="s">
        <v>397</v>
      </c>
      <c r="AB80" s="12"/>
    </row>
    <row r="81" s="144" customFormat="1" ht="43" customHeight="1" spans="1:31">
      <c r="A81" s="150" t="s">
        <v>398</v>
      </c>
      <c r="B81" s="150"/>
      <c r="C81" s="150"/>
      <c r="D81" s="106"/>
      <c r="E81" s="11"/>
      <c r="F81" s="11"/>
      <c r="G81" s="11"/>
      <c r="H81" s="11">
        <v>9</v>
      </c>
      <c r="I81" s="117"/>
      <c r="J81" s="117"/>
      <c r="K81" s="18">
        <f t="shared" ref="K81:V81" si="24">SUM(K82:K90)</f>
        <v>5145</v>
      </c>
      <c r="L81" s="18">
        <f t="shared" si="24"/>
        <v>5145</v>
      </c>
      <c r="M81" s="18">
        <f t="shared" si="24"/>
        <v>4845</v>
      </c>
      <c r="N81" s="18">
        <f t="shared" si="24"/>
        <v>300</v>
      </c>
      <c r="O81" s="18">
        <f t="shared" si="24"/>
        <v>0</v>
      </c>
      <c r="P81" s="18">
        <f t="shared" si="24"/>
        <v>0</v>
      </c>
      <c r="Q81" s="18">
        <f t="shared" si="24"/>
        <v>0</v>
      </c>
      <c r="R81" s="18">
        <f t="shared" si="24"/>
        <v>0</v>
      </c>
      <c r="S81" s="18">
        <f t="shared" si="24"/>
        <v>0</v>
      </c>
      <c r="T81" s="18">
        <f t="shared" si="24"/>
        <v>0</v>
      </c>
      <c r="U81" s="18">
        <f t="shared" si="24"/>
        <v>0</v>
      </c>
      <c r="V81" s="18">
        <f t="shared" si="24"/>
        <v>0</v>
      </c>
      <c r="W81" s="11"/>
      <c r="X81" s="150"/>
      <c r="Y81" s="150"/>
      <c r="Z81" s="123"/>
      <c r="AA81" s="123"/>
      <c r="AB81" s="123"/>
      <c r="AC81" s="144"/>
      <c r="AD81" s="144"/>
      <c r="AE81" s="145"/>
    </row>
    <row r="82" s="145" customFormat="1" ht="101" customHeight="1" spans="1:28">
      <c r="A82" s="12">
        <v>69</v>
      </c>
      <c r="B82" s="12" t="s">
        <v>399</v>
      </c>
      <c r="C82" s="12" t="s">
        <v>400</v>
      </c>
      <c r="D82" s="12" t="s">
        <v>35</v>
      </c>
      <c r="E82" s="12" t="s">
        <v>71</v>
      </c>
      <c r="F82" s="12" t="s">
        <v>401</v>
      </c>
      <c r="G82" s="12" t="s">
        <v>402</v>
      </c>
      <c r="H82" s="15" t="s">
        <v>403</v>
      </c>
      <c r="I82" s="19" t="s">
        <v>164</v>
      </c>
      <c r="J82" s="19">
        <v>22</v>
      </c>
      <c r="K82" s="20">
        <f t="shared" ref="K82:K90" si="25">SUM(L82,T82:V82)</f>
        <v>2000</v>
      </c>
      <c r="L82" s="20">
        <f t="shared" ref="L82:L90" si="26">SUM(M82:S82)</f>
        <v>2000</v>
      </c>
      <c r="M82" s="20">
        <v>2000</v>
      </c>
      <c r="N82" s="160"/>
      <c r="O82" s="160"/>
      <c r="P82" s="160"/>
      <c r="Q82" s="162"/>
      <c r="R82" s="162"/>
      <c r="S82" s="162"/>
      <c r="T82" s="162"/>
      <c r="U82" s="162"/>
      <c r="V82" s="162"/>
      <c r="W82" s="162">
        <v>1500</v>
      </c>
      <c r="X82" s="149" t="s">
        <v>404</v>
      </c>
      <c r="Y82" s="165"/>
      <c r="Z82" s="12" t="s">
        <v>121</v>
      </c>
      <c r="AA82" s="12" t="s">
        <v>122</v>
      </c>
      <c r="AB82" s="12"/>
    </row>
    <row r="83" s="145" customFormat="1" ht="101" customHeight="1" spans="1:28">
      <c r="A83" s="12">
        <v>70</v>
      </c>
      <c r="B83" s="12" t="s">
        <v>405</v>
      </c>
      <c r="C83" s="12" t="s">
        <v>406</v>
      </c>
      <c r="D83" s="12" t="s">
        <v>35</v>
      </c>
      <c r="E83" s="12" t="s">
        <v>407</v>
      </c>
      <c r="F83" s="12" t="s">
        <v>40</v>
      </c>
      <c r="G83" s="12" t="s">
        <v>408</v>
      </c>
      <c r="H83" s="15" t="s">
        <v>409</v>
      </c>
      <c r="I83" s="19" t="s">
        <v>164</v>
      </c>
      <c r="J83" s="19">
        <v>4</v>
      </c>
      <c r="K83" s="20">
        <f t="shared" si="25"/>
        <v>550</v>
      </c>
      <c r="L83" s="20">
        <f t="shared" si="26"/>
        <v>550</v>
      </c>
      <c r="M83" s="20">
        <v>550</v>
      </c>
      <c r="N83" s="160"/>
      <c r="O83" s="160"/>
      <c r="P83" s="160"/>
      <c r="Q83" s="162"/>
      <c r="R83" s="162"/>
      <c r="S83" s="162"/>
      <c r="T83" s="162"/>
      <c r="U83" s="162"/>
      <c r="V83" s="162"/>
      <c r="W83" s="162">
        <v>550</v>
      </c>
      <c r="X83" s="149" t="s">
        <v>410</v>
      </c>
      <c r="Y83" s="165" t="s">
        <v>411</v>
      </c>
      <c r="Z83" s="12" t="s">
        <v>121</v>
      </c>
      <c r="AA83" s="12" t="s">
        <v>122</v>
      </c>
      <c r="AB83" s="12"/>
    </row>
    <row r="84" s="145" customFormat="1" ht="101" customHeight="1" spans="1:31">
      <c r="A84" s="12">
        <v>71</v>
      </c>
      <c r="B84" s="12" t="s">
        <v>412</v>
      </c>
      <c r="C84" s="12" t="s">
        <v>413</v>
      </c>
      <c r="D84" s="12" t="s">
        <v>35</v>
      </c>
      <c r="E84" s="12" t="s">
        <v>71</v>
      </c>
      <c r="F84" s="12" t="s">
        <v>40</v>
      </c>
      <c r="G84" s="12" t="s">
        <v>414</v>
      </c>
      <c r="H84" s="15" t="s">
        <v>415</v>
      </c>
      <c r="I84" s="19" t="s">
        <v>393</v>
      </c>
      <c r="J84" s="19">
        <v>11100</v>
      </c>
      <c r="K84" s="20">
        <f t="shared" si="25"/>
        <v>214</v>
      </c>
      <c r="L84" s="20">
        <f t="shared" si="26"/>
        <v>214</v>
      </c>
      <c r="M84" s="20">
        <v>214</v>
      </c>
      <c r="N84" s="160"/>
      <c r="O84" s="160"/>
      <c r="P84" s="160"/>
      <c r="Q84" s="162"/>
      <c r="R84" s="162"/>
      <c r="S84" s="162"/>
      <c r="T84" s="162"/>
      <c r="U84" s="162"/>
      <c r="V84" s="162"/>
      <c r="W84" s="162">
        <v>500</v>
      </c>
      <c r="X84" s="149" t="s">
        <v>416</v>
      </c>
      <c r="Y84" s="165" t="s">
        <v>417</v>
      </c>
      <c r="Z84" s="12" t="s">
        <v>121</v>
      </c>
      <c r="AA84" s="12" t="s">
        <v>122</v>
      </c>
      <c r="AB84" s="12"/>
      <c r="AC84" s="145"/>
      <c r="AD84" s="145"/>
      <c r="AE84" s="145" t="s">
        <v>63</v>
      </c>
    </row>
    <row r="85" s="145" customFormat="1" ht="101" customHeight="1" spans="1:28">
      <c r="A85" s="12">
        <v>72</v>
      </c>
      <c r="B85" s="12" t="s">
        <v>418</v>
      </c>
      <c r="C85" s="12" t="s">
        <v>419</v>
      </c>
      <c r="D85" s="12" t="s">
        <v>35</v>
      </c>
      <c r="E85" s="12" t="s">
        <v>71</v>
      </c>
      <c r="F85" s="12" t="s">
        <v>40</v>
      </c>
      <c r="G85" s="12" t="s">
        <v>414</v>
      </c>
      <c r="H85" s="15" t="s">
        <v>420</v>
      </c>
      <c r="I85" s="19" t="s">
        <v>421</v>
      </c>
      <c r="J85" s="19">
        <v>61</v>
      </c>
      <c r="K85" s="20">
        <f t="shared" si="25"/>
        <v>386</v>
      </c>
      <c r="L85" s="20">
        <f t="shared" si="26"/>
        <v>386</v>
      </c>
      <c r="M85" s="20">
        <v>386</v>
      </c>
      <c r="N85" s="160"/>
      <c r="O85" s="160"/>
      <c r="P85" s="160"/>
      <c r="Q85" s="162"/>
      <c r="R85" s="162"/>
      <c r="S85" s="162"/>
      <c r="T85" s="162"/>
      <c r="U85" s="162"/>
      <c r="V85" s="162"/>
      <c r="W85" s="162">
        <v>500</v>
      </c>
      <c r="X85" s="149" t="s">
        <v>416</v>
      </c>
      <c r="Y85" s="166" t="s">
        <v>417</v>
      </c>
      <c r="Z85" s="12" t="s">
        <v>121</v>
      </c>
      <c r="AA85" s="12" t="s">
        <v>122</v>
      </c>
      <c r="AB85" s="12"/>
    </row>
    <row r="86" s="145" customFormat="1" ht="101" customHeight="1" spans="1:28">
      <c r="A86" s="12">
        <v>73</v>
      </c>
      <c r="B86" s="12" t="s">
        <v>422</v>
      </c>
      <c r="C86" s="12" t="s">
        <v>423</v>
      </c>
      <c r="D86" s="12" t="s">
        <v>35</v>
      </c>
      <c r="E86" s="12" t="s">
        <v>424</v>
      </c>
      <c r="F86" s="12" t="s">
        <v>40</v>
      </c>
      <c r="G86" s="12" t="s">
        <v>185</v>
      </c>
      <c r="H86" s="15" t="s">
        <v>425</v>
      </c>
      <c r="I86" s="19" t="s">
        <v>426</v>
      </c>
      <c r="J86" s="19">
        <v>10</v>
      </c>
      <c r="K86" s="20">
        <f t="shared" si="25"/>
        <v>400</v>
      </c>
      <c r="L86" s="20">
        <f t="shared" si="26"/>
        <v>400</v>
      </c>
      <c r="M86" s="20">
        <v>400</v>
      </c>
      <c r="N86" s="160"/>
      <c r="O86" s="160">
        <v>0</v>
      </c>
      <c r="P86" s="160">
        <v>0</v>
      </c>
      <c r="Q86" s="162">
        <v>0</v>
      </c>
      <c r="R86" s="162">
        <v>0</v>
      </c>
      <c r="S86" s="162">
        <v>0</v>
      </c>
      <c r="T86" s="162">
        <v>0</v>
      </c>
      <c r="U86" s="162">
        <v>0</v>
      </c>
      <c r="V86" s="162">
        <v>0</v>
      </c>
      <c r="W86" s="162">
        <v>20000</v>
      </c>
      <c r="X86" s="149" t="s">
        <v>427</v>
      </c>
      <c r="Y86" s="165"/>
      <c r="Z86" s="12" t="s">
        <v>121</v>
      </c>
      <c r="AA86" s="12" t="s">
        <v>122</v>
      </c>
      <c r="AB86" s="12"/>
    </row>
    <row r="87" s="145" customFormat="1" ht="105" spans="1:28">
      <c r="A87" s="12">
        <v>74</v>
      </c>
      <c r="B87" s="12" t="s">
        <v>428</v>
      </c>
      <c r="C87" s="12" t="s">
        <v>429</v>
      </c>
      <c r="D87" s="12" t="s">
        <v>35</v>
      </c>
      <c r="E87" s="12" t="s">
        <v>424</v>
      </c>
      <c r="F87" s="12" t="s">
        <v>40</v>
      </c>
      <c r="G87" s="12" t="s">
        <v>185</v>
      </c>
      <c r="H87" s="15" t="s">
        <v>430</v>
      </c>
      <c r="I87" s="19" t="s">
        <v>431</v>
      </c>
      <c r="J87" s="19">
        <v>1</v>
      </c>
      <c r="K87" s="20">
        <f t="shared" si="25"/>
        <v>200</v>
      </c>
      <c r="L87" s="20">
        <f t="shared" si="26"/>
        <v>200</v>
      </c>
      <c r="M87" s="20">
        <v>200</v>
      </c>
      <c r="N87" s="160"/>
      <c r="O87" s="160"/>
      <c r="P87" s="160"/>
      <c r="Q87" s="163"/>
      <c r="R87" s="163"/>
      <c r="S87" s="163"/>
      <c r="T87" s="163"/>
      <c r="U87" s="163"/>
      <c r="V87" s="163"/>
      <c r="W87" s="163">
        <v>5000</v>
      </c>
      <c r="X87" s="149" t="s">
        <v>432</v>
      </c>
      <c r="Y87" s="167"/>
      <c r="Z87" s="12" t="s">
        <v>121</v>
      </c>
      <c r="AA87" s="12" t="s">
        <v>122</v>
      </c>
      <c r="AB87" s="12"/>
    </row>
    <row r="88" s="145" customFormat="1" ht="105" customHeight="1" spans="1:28">
      <c r="A88" s="12">
        <v>75</v>
      </c>
      <c r="B88" s="12" t="s">
        <v>433</v>
      </c>
      <c r="C88" s="12" t="s">
        <v>434</v>
      </c>
      <c r="D88" s="12" t="s">
        <v>35</v>
      </c>
      <c r="E88" s="12" t="s">
        <v>71</v>
      </c>
      <c r="F88" s="12" t="s">
        <v>40</v>
      </c>
      <c r="G88" s="12" t="s">
        <v>435</v>
      </c>
      <c r="H88" s="15" t="s">
        <v>436</v>
      </c>
      <c r="I88" s="19" t="s">
        <v>437</v>
      </c>
      <c r="J88" s="19">
        <v>1</v>
      </c>
      <c r="K88" s="20">
        <f t="shared" si="25"/>
        <v>395</v>
      </c>
      <c r="L88" s="20">
        <f t="shared" si="26"/>
        <v>395</v>
      </c>
      <c r="M88" s="20">
        <v>395</v>
      </c>
      <c r="N88" s="160"/>
      <c r="O88" s="160"/>
      <c r="P88" s="160"/>
      <c r="Q88" s="163"/>
      <c r="R88" s="163"/>
      <c r="S88" s="163"/>
      <c r="T88" s="163"/>
      <c r="U88" s="163"/>
      <c r="V88" s="163"/>
      <c r="W88" s="163">
        <v>120</v>
      </c>
      <c r="X88" s="149" t="s">
        <v>438</v>
      </c>
      <c r="Y88" s="15" t="s">
        <v>439</v>
      </c>
      <c r="Z88" s="12" t="s">
        <v>80</v>
      </c>
      <c r="AA88" s="12" t="s">
        <v>81</v>
      </c>
      <c r="AB88" s="12"/>
    </row>
    <row r="89" s="145" customFormat="1" ht="105" customHeight="1" spans="1:31">
      <c r="A89" s="12">
        <v>76</v>
      </c>
      <c r="B89" s="12" t="s">
        <v>440</v>
      </c>
      <c r="C89" s="12" t="s">
        <v>441</v>
      </c>
      <c r="D89" s="12" t="s">
        <v>35</v>
      </c>
      <c r="E89" s="12" t="s">
        <v>71</v>
      </c>
      <c r="F89" s="12" t="s">
        <v>40</v>
      </c>
      <c r="G89" s="12" t="s">
        <v>442</v>
      </c>
      <c r="H89" s="149" t="s">
        <v>443</v>
      </c>
      <c r="I89" s="12" t="s">
        <v>444</v>
      </c>
      <c r="J89" s="12">
        <v>1</v>
      </c>
      <c r="K89" s="20">
        <f t="shared" si="25"/>
        <v>300</v>
      </c>
      <c r="L89" s="20">
        <f t="shared" si="26"/>
        <v>300</v>
      </c>
      <c r="M89" s="20"/>
      <c r="N89" s="20">
        <v>300</v>
      </c>
      <c r="O89" s="20"/>
      <c r="P89" s="20"/>
      <c r="Q89" s="12"/>
      <c r="R89" s="12"/>
      <c r="S89" s="12"/>
      <c r="T89" s="12"/>
      <c r="U89" s="12"/>
      <c r="V89" s="12"/>
      <c r="W89" s="12">
        <v>300</v>
      </c>
      <c r="X89" s="149" t="s">
        <v>445</v>
      </c>
      <c r="Y89" s="149" t="s">
        <v>446</v>
      </c>
      <c r="Z89" s="12" t="s">
        <v>80</v>
      </c>
      <c r="AA89" s="12" t="s">
        <v>81</v>
      </c>
      <c r="AB89" s="12"/>
      <c r="AC89" s="145"/>
      <c r="AD89" s="145"/>
      <c r="AE89" s="145" t="s">
        <v>63</v>
      </c>
    </row>
    <row r="90" s="145" customFormat="1" ht="107" customHeight="1" spans="1:31">
      <c r="A90" s="12">
        <v>77</v>
      </c>
      <c r="B90" s="12" t="s">
        <v>447</v>
      </c>
      <c r="C90" s="12" t="s">
        <v>448</v>
      </c>
      <c r="D90" s="12" t="s">
        <v>35</v>
      </c>
      <c r="E90" s="12" t="s">
        <v>424</v>
      </c>
      <c r="F90" s="12" t="s">
        <v>40</v>
      </c>
      <c r="G90" s="12" t="s">
        <v>185</v>
      </c>
      <c r="H90" s="15" t="s">
        <v>449</v>
      </c>
      <c r="I90" s="19" t="s">
        <v>450</v>
      </c>
      <c r="J90" s="19">
        <v>650</v>
      </c>
      <c r="K90" s="20">
        <f t="shared" si="25"/>
        <v>700</v>
      </c>
      <c r="L90" s="20">
        <f t="shared" si="26"/>
        <v>700</v>
      </c>
      <c r="M90" s="20">
        <v>700</v>
      </c>
      <c r="N90" s="160"/>
      <c r="O90" s="160"/>
      <c r="P90" s="160"/>
      <c r="Q90" s="163"/>
      <c r="R90" s="163"/>
      <c r="S90" s="163"/>
      <c r="T90" s="163"/>
      <c r="U90" s="163"/>
      <c r="V90" s="163"/>
      <c r="W90" s="163">
        <v>65000</v>
      </c>
      <c r="X90" s="149" t="s">
        <v>451</v>
      </c>
      <c r="Y90" s="15"/>
      <c r="Z90" s="12" t="s">
        <v>121</v>
      </c>
      <c r="AA90" s="12" t="s">
        <v>122</v>
      </c>
      <c r="AB90" s="12"/>
      <c r="AC90" s="145"/>
      <c r="AD90" s="145"/>
      <c r="AE90" s="145" t="s">
        <v>63</v>
      </c>
    </row>
    <row r="91" s="144" customFormat="1" ht="43" customHeight="1" spans="1:31">
      <c r="A91" s="150" t="s">
        <v>452</v>
      </c>
      <c r="B91" s="150"/>
      <c r="C91" s="150"/>
      <c r="D91" s="106"/>
      <c r="E91" s="11"/>
      <c r="F91" s="11"/>
      <c r="G91" s="11"/>
      <c r="H91" s="11">
        <v>36</v>
      </c>
      <c r="I91" s="117"/>
      <c r="J91" s="117"/>
      <c r="K91" s="18">
        <f t="shared" ref="K91:V91" si="27">SUM(K92:K127)</f>
        <v>36913.75</v>
      </c>
      <c r="L91" s="18">
        <f t="shared" si="27"/>
        <v>36913.75</v>
      </c>
      <c r="M91" s="18">
        <f t="shared" si="27"/>
        <v>22364</v>
      </c>
      <c r="N91" s="18">
        <f t="shared" si="27"/>
        <v>10938.75</v>
      </c>
      <c r="O91" s="18">
        <f t="shared" si="27"/>
        <v>0</v>
      </c>
      <c r="P91" s="18">
        <f t="shared" si="27"/>
        <v>3611</v>
      </c>
      <c r="Q91" s="18">
        <f t="shared" si="27"/>
        <v>0</v>
      </c>
      <c r="R91" s="18">
        <f t="shared" si="27"/>
        <v>0</v>
      </c>
      <c r="S91" s="18">
        <f t="shared" si="27"/>
        <v>0</v>
      </c>
      <c r="T91" s="18">
        <f t="shared" si="27"/>
        <v>0</v>
      </c>
      <c r="U91" s="18">
        <f t="shared" si="27"/>
        <v>0</v>
      </c>
      <c r="V91" s="18">
        <f t="shared" si="27"/>
        <v>0</v>
      </c>
      <c r="W91" s="11"/>
      <c r="X91" s="150"/>
      <c r="Y91" s="150"/>
      <c r="Z91" s="123"/>
      <c r="AA91" s="123"/>
      <c r="AB91" s="123"/>
      <c r="AC91" s="144"/>
      <c r="AD91" s="144"/>
      <c r="AE91" s="145"/>
    </row>
    <row r="92" s="146" customFormat="1" ht="105" customHeight="1" spans="1:31">
      <c r="A92" s="12">
        <v>78</v>
      </c>
      <c r="B92" s="12" t="s">
        <v>453</v>
      </c>
      <c r="C92" s="12" t="s">
        <v>454</v>
      </c>
      <c r="D92" s="12" t="s">
        <v>35</v>
      </c>
      <c r="E92" s="157" t="s">
        <v>455</v>
      </c>
      <c r="F92" s="157" t="s">
        <v>401</v>
      </c>
      <c r="G92" s="157" t="s">
        <v>456</v>
      </c>
      <c r="H92" s="15" t="s">
        <v>457</v>
      </c>
      <c r="I92" s="157" t="s">
        <v>164</v>
      </c>
      <c r="J92" s="157">
        <v>1</v>
      </c>
      <c r="K92" s="20">
        <f t="shared" ref="K92:K127" si="28">SUM(L92,T92:V92)</f>
        <v>240</v>
      </c>
      <c r="L92" s="20">
        <f t="shared" ref="L92:L127" si="29">SUM(M92:S92)</f>
        <v>240</v>
      </c>
      <c r="M92" s="157">
        <v>240</v>
      </c>
      <c r="N92" s="157"/>
      <c r="O92" s="157"/>
      <c r="P92" s="157"/>
      <c r="Q92" s="157"/>
      <c r="R92" s="157"/>
      <c r="S92" s="157"/>
      <c r="T92" s="157"/>
      <c r="U92" s="157"/>
      <c r="V92" s="157"/>
      <c r="W92" s="157">
        <v>3000</v>
      </c>
      <c r="X92" s="164" t="s">
        <v>458</v>
      </c>
      <c r="Y92" s="164" t="s">
        <v>459</v>
      </c>
      <c r="Z92" s="12" t="s">
        <v>80</v>
      </c>
      <c r="AA92" s="12" t="s">
        <v>81</v>
      </c>
      <c r="AB92" s="12"/>
      <c r="AC92" s="146"/>
      <c r="AD92" s="146"/>
      <c r="AE92" s="145" t="s">
        <v>63</v>
      </c>
    </row>
    <row r="93" s="145" customFormat="1" ht="111" customHeight="1" spans="1:28">
      <c r="A93" s="12">
        <v>79</v>
      </c>
      <c r="B93" s="12" t="s">
        <v>460</v>
      </c>
      <c r="C93" s="12" t="s">
        <v>461</v>
      </c>
      <c r="D93" s="12" t="s">
        <v>35</v>
      </c>
      <c r="E93" s="12" t="s">
        <v>455</v>
      </c>
      <c r="F93" s="12" t="s">
        <v>40</v>
      </c>
      <c r="G93" s="12" t="s">
        <v>391</v>
      </c>
      <c r="H93" s="149" t="s">
        <v>462</v>
      </c>
      <c r="I93" s="12" t="s">
        <v>393</v>
      </c>
      <c r="J93" s="12">
        <v>6666.7</v>
      </c>
      <c r="K93" s="20">
        <f t="shared" si="28"/>
        <v>2980</v>
      </c>
      <c r="L93" s="20">
        <f t="shared" si="29"/>
        <v>2980</v>
      </c>
      <c r="M93" s="20">
        <v>2980</v>
      </c>
      <c r="N93" s="20"/>
      <c r="O93" s="20"/>
      <c r="P93" s="20"/>
      <c r="Q93" s="12"/>
      <c r="R93" s="12"/>
      <c r="S93" s="12"/>
      <c r="T93" s="12"/>
      <c r="U93" s="12"/>
      <c r="V93" s="12"/>
      <c r="W93" s="12">
        <v>200</v>
      </c>
      <c r="X93" s="149" t="s">
        <v>463</v>
      </c>
      <c r="Y93" s="149" t="s">
        <v>464</v>
      </c>
      <c r="Z93" s="12" t="s">
        <v>465</v>
      </c>
      <c r="AA93" s="12" t="s">
        <v>466</v>
      </c>
      <c r="AB93" s="12"/>
    </row>
    <row r="94" s="145" customFormat="1" ht="111" customHeight="1" spans="1:28">
      <c r="A94" s="12">
        <v>80</v>
      </c>
      <c r="B94" s="12" t="s">
        <v>467</v>
      </c>
      <c r="C94" s="12" t="s">
        <v>468</v>
      </c>
      <c r="D94" s="12" t="s">
        <v>35</v>
      </c>
      <c r="E94" s="12" t="s">
        <v>469</v>
      </c>
      <c r="F94" s="12" t="s">
        <v>40</v>
      </c>
      <c r="G94" s="12" t="s">
        <v>391</v>
      </c>
      <c r="H94" s="149" t="s">
        <v>470</v>
      </c>
      <c r="I94" s="12" t="s">
        <v>393</v>
      </c>
      <c r="J94" s="12">
        <v>2000</v>
      </c>
      <c r="K94" s="20">
        <f t="shared" si="28"/>
        <v>800</v>
      </c>
      <c r="L94" s="20">
        <f t="shared" si="29"/>
        <v>800</v>
      </c>
      <c r="M94" s="20"/>
      <c r="N94" s="20"/>
      <c r="O94" s="20"/>
      <c r="P94" s="20">
        <v>800</v>
      </c>
      <c r="Q94" s="12"/>
      <c r="R94" s="12"/>
      <c r="S94" s="12"/>
      <c r="T94" s="12"/>
      <c r="U94" s="12"/>
      <c r="V94" s="12"/>
      <c r="W94" s="12">
        <v>2000</v>
      </c>
      <c r="X94" s="149" t="s">
        <v>471</v>
      </c>
      <c r="Y94" s="149" t="s">
        <v>464</v>
      </c>
      <c r="Z94" s="12" t="s">
        <v>472</v>
      </c>
      <c r="AA94" s="12" t="s">
        <v>473</v>
      </c>
      <c r="AB94" s="12"/>
    </row>
    <row r="95" s="145" customFormat="1" ht="154" customHeight="1" spans="1:31">
      <c r="A95" s="12">
        <v>81</v>
      </c>
      <c r="B95" s="12" t="s">
        <v>474</v>
      </c>
      <c r="C95" s="12" t="s">
        <v>475</v>
      </c>
      <c r="D95" s="12" t="s">
        <v>35</v>
      </c>
      <c r="E95" s="12" t="s">
        <v>476</v>
      </c>
      <c r="F95" s="12" t="s">
        <v>40</v>
      </c>
      <c r="G95" s="12" t="s">
        <v>477</v>
      </c>
      <c r="H95" s="149" t="s">
        <v>478</v>
      </c>
      <c r="I95" s="12" t="s">
        <v>393</v>
      </c>
      <c r="J95" s="12">
        <v>1000</v>
      </c>
      <c r="K95" s="20">
        <f t="shared" si="28"/>
        <v>960</v>
      </c>
      <c r="L95" s="20">
        <f t="shared" si="29"/>
        <v>960</v>
      </c>
      <c r="M95" s="20">
        <v>960</v>
      </c>
      <c r="N95" s="20"/>
      <c r="O95" s="20"/>
      <c r="P95" s="20"/>
      <c r="Q95" s="12"/>
      <c r="R95" s="12"/>
      <c r="S95" s="12"/>
      <c r="T95" s="12"/>
      <c r="U95" s="12"/>
      <c r="V95" s="12"/>
      <c r="W95" s="12">
        <v>1600</v>
      </c>
      <c r="X95" s="149" t="s">
        <v>479</v>
      </c>
      <c r="Y95" s="149" t="s">
        <v>480</v>
      </c>
      <c r="Z95" s="12" t="s">
        <v>80</v>
      </c>
      <c r="AA95" s="21" t="s">
        <v>81</v>
      </c>
      <c r="AB95" s="12"/>
      <c r="AC95" s="145"/>
      <c r="AD95" s="145"/>
      <c r="AE95" s="145" t="s">
        <v>63</v>
      </c>
    </row>
    <row r="96" s="145" customFormat="1" ht="134" customHeight="1" spans="1:31">
      <c r="A96" s="12">
        <v>82</v>
      </c>
      <c r="B96" s="12" t="s">
        <v>481</v>
      </c>
      <c r="C96" s="12" t="s">
        <v>482</v>
      </c>
      <c r="D96" s="12" t="s">
        <v>35</v>
      </c>
      <c r="E96" s="12" t="s">
        <v>455</v>
      </c>
      <c r="F96" s="12" t="s">
        <v>40</v>
      </c>
      <c r="G96" s="12" t="s">
        <v>483</v>
      </c>
      <c r="H96" s="149" t="s">
        <v>484</v>
      </c>
      <c r="I96" s="161" t="s">
        <v>393</v>
      </c>
      <c r="J96" s="161">
        <v>10000</v>
      </c>
      <c r="K96" s="20">
        <f t="shared" si="28"/>
        <v>2000</v>
      </c>
      <c r="L96" s="20">
        <f t="shared" si="29"/>
        <v>2000</v>
      </c>
      <c r="M96" s="20">
        <v>2000</v>
      </c>
      <c r="N96" s="20"/>
      <c r="O96" s="20"/>
      <c r="P96" s="20"/>
      <c r="Q96" s="12"/>
      <c r="R96" s="12"/>
      <c r="S96" s="12"/>
      <c r="T96" s="12"/>
      <c r="U96" s="12"/>
      <c r="V96" s="12"/>
      <c r="W96" s="12">
        <v>5000</v>
      </c>
      <c r="X96" s="149" t="s">
        <v>485</v>
      </c>
      <c r="Y96" s="149" t="s">
        <v>486</v>
      </c>
      <c r="Z96" s="12" t="s">
        <v>465</v>
      </c>
      <c r="AA96" s="12" t="s">
        <v>466</v>
      </c>
      <c r="AB96" s="12"/>
      <c r="AC96" s="145"/>
      <c r="AD96" s="145"/>
      <c r="AE96" s="145" t="s">
        <v>63</v>
      </c>
    </row>
    <row r="97" s="145" customFormat="1" ht="140" customHeight="1" spans="1:31">
      <c r="A97" s="12">
        <v>83</v>
      </c>
      <c r="B97" s="12" t="s">
        <v>487</v>
      </c>
      <c r="C97" s="12" t="s">
        <v>488</v>
      </c>
      <c r="D97" s="12" t="s">
        <v>35</v>
      </c>
      <c r="E97" s="12" t="s">
        <v>455</v>
      </c>
      <c r="F97" s="12" t="s">
        <v>40</v>
      </c>
      <c r="G97" s="12" t="s">
        <v>483</v>
      </c>
      <c r="H97" s="149" t="s">
        <v>489</v>
      </c>
      <c r="I97" s="161" t="s">
        <v>393</v>
      </c>
      <c r="J97" s="161">
        <v>16000</v>
      </c>
      <c r="K97" s="20">
        <f t="shared" si="28"/>
        <v>2900</v>
      </c>
      <c r="L97" s="20">
        <f t="shared" si="29"/>
        <v>2900</v>
      </c>
      <c r="M97" s="20">
        <v>2900</v>
      </c>
      <c r="N97" s="20"/>
      <c r="O97" s="20"/>
      <c r="P97" s="20"/>
      <c r="Q97" s="12"/>
      <c r="R97" s="12"/>
      <c r="S97" s="12"/>
      <c r="T97" s="12"/>
      <c r="U97" s="12"/>
      <c r="V97" s="12"/>
      <c r="W97" s="12">
        <v>5000</v>
      </c>
      <c r="X97" s="149" t="s">
        <v>490</v>
      </c>
      <c r="Y97" s="149" t="s">
        <v>491</v>
      </c>
      <c r="Z97" s="12" t="s">
        <v>465</v>
      </c>
      <c r="AA97" s="12" t="s">
        <v>466</v>
      </c>
      <c r="AB97" s="12"/>
      <c r="AC97" s="145"/>
      <c r="AD97" s="145"/>
      <c r="AE97" s="145" t="s">
        <v>63</v>
      </c>
    </row>
    <row r="98" s="145" customFormat="1" ht="143" customHeight="1" spans="1:31">
      <c r="A98" s="12">
        <v>84</v>
      </c>
      <c r="B98" s="12" t="s">
        <v>492</v>
      </c>
      <c r="C98" s="12" t="s">
        <v>493</v>
      </c>
      <c r="D98" s="12" t="s">
        <v>35</v>
      </c>
      <c r="E98" s="12" t="s">
        <v>390</v>
      </c>
      <c r="F98" s="12" t="s">
        <v>40</v>
      </c>
      <c r="G98" s="12" t="s">
        <v>494</v>
      </c>
      <c r="H98" s="149" t="s">
        <v>495</v>
      </c>
      <c r="I98" s="12" t="s">
        <v>393</v>
      </c>
      <c r="J98" s="12">
        <v>9600</v>
      </c>
      <c r="K98" s="20">
        <f t="shared" si="28"/>
        <v>790</v>
      </c>
      <c r="L98" s="20">
        <f t="shared" si="29"/>
        <v>790</v>
      </c>
      <c r="M98" s="20">
        <v>790</v>
      </c>
      <c r="N98" s="20"/>
      <c r="O98" s="20"/>
      <c r="P98" s="20"/>
      <c r="Q98" s="12"/>
      <c r="R98" s="12"/>
      <c r="S98" s="12"/>
      <c r="T98" s="12"/>
      <c r="U98" s="12"/>
      <c r="V98" s="12"/>
      <c r="W98" s="12">
        <v>9800</v>
      </c>
      <c r="X98" s="149" t="s">
        <v>496</v>
      </c>
      <c r="Y98" s="149" t="s">
        <v>497</v>
      </c>
      <c r="Z98" s="12" t="s">
        <v>396</v>
      </c>
      <c r="AA98" s="12" t="s">
        <v>397</v>
      </c>
      <c r="AB98" s="12"/>
      <c r="AC98" s="145"/>
      <c r="AD98" s="145"/>
      <c r="AE98" s="145" t="s">
        <v>63</v>
      </c>
    </row>
    <row r="99" s="145" customFormat="1" ht="106" customHeight="1" spans="1:28">
      <c r="A99" s="12">
        <v>85</v>
      </c>
      <c r="B99" s="12" t="s">
        <v>498</v>
      </c>
      <c r="C99" s="12" t="s">
        <v>499</v>
      </c>
      <c r="D99" s="12" t="s">
        <v>35</v>
      </c>
      <c r="E99" s="12" t="s">
        <v>39</v>
      </c>
      <c r="F99" s="12" t="s">
        <v>40</v>
      </c>
      <c r="G99" s="12" t="s">
        <v>500</v>
      </c>
      <c r="H99" s="149" t="s">
        <v>501</v>
      </c>
      <c r="I99" s="12" t="s">
        <v>43</v>
      </c>
      <c r="J99" s="12">
        <v>200</v>
      </c>
      <c r="K99" s="20">
        <f t="shared" si="28"/>
        <v>295</v>
      </c>
      <c r="L99" s="20">
        <f t="shared" si="29"/>
        <v>295</v>
      </c>
      <c r="M99" s="20">
        <v>295</v>
      </c>
      <c r="N99" s="20"/>
      <c r="O99" s="20"/>
      <c r="P99" s="20"/>
      <c r="Q99" s="12"/>
      <c r="R99" s="12"/>
      <c r="S99" s="12"/>
      <c r="T99" s="12"/>
      <c r="U99" s="12"/>
      <c r="V99" s="12"/>
      <c r="W99" s="12">
        <v>300</v>
      </c>
      <c r="X99" s="149" t="s">
        <v>502</v>
      </c>
      <c r="Y99" s="149" t="s">
        <v>503</v>
      </c>
      <c r="Z99" s="12" t="s">
        <v>80</v>
      </c>
      <c r="AA99" s="12" t="s">
        <v>81</v>
      </c>
      <c r="AB99" s="12"/>
    </row>
    <row r="100" s="145" customFormat="1" ht="143" customHeight="1" spans="1:31">
      <c r="A100" s="12">
        <v>86</v>
      </c>
      <c r="B100" s="12" t="s">
        <v>504</v>
      </c>
      <c r="C100" s="12" t="s">
        <v>505</v>
      </c>
      <c r="D100" s="12" t="s">
        <v>35</v>
      </c>
      <c r="E100" s="12" t="s">
        <v>469</v>
      </c>
      <c r="F100" s="12" t="s">
        <v>40</v>
      </c>
      <c r="G100" s="12" t="s">
        <v>506</v>
      </c>
      <c r="H100" s="149" t="s">
        <v>507</v>
      </c>
      <c r="I100" s="12" t="s">
        <v>164</v>
      </c>
      <c r="J100" s="12">
        <v>1</v>
      </c>
      <c r="K100" s="20">
        <f t="shared" si="28"/>
        <v>270</v>
      </c>
      <c r="L100" s="20">
        <f t="shared" si="29"/>
        <v>270</v>
      </c>
      <c r="M100" s="20">
        <v>270</v>
      </c>
      <c r="N100" s="20"/>
      <c r="O100" s="20"/>
      <c r="P100" s="20"/>
      <c r="Q100" s="12"/>
      <c r="R100" s="12"/>
      <c r="S100" s="12"/>
      <c r="T100" s="12"/>
      <c r="U100" s="12"/>
      <c r="V100" s="12"/>
      <c r="W100" s="12">
        <v>270</v>
      </c>
      <c r="X100" s="149" t="s">
        <v>508</v>
      </c>
      <c r="Y100" s="149" t="s">
        <v>509</v>
      </c>
      <c r="Z100" s="12" t="s">
        <v>465</v>
      </c>
      <c r="AA100" s="12" t="s">
        <v>466</v>
      </c>
      <c r="AB100" s="12"/>
      <c r="AC100" s="145"/>
      <c r="AD100" s="145"/>
      <c r="AE100" s="145" t="s">
        <v>63</v>
      </c>
    </row>
    <row r="101" s="145" customFormat="1" ht="92" customHeight="1" spans="1:28">
      <c r="A101" s="12">
        <v>87</v>
      </c>
      <c r="B101" s="12" t="s">
        <v>510</v>
      </c>
      <c r="C101" s="12" t="s">
        <v>511</v>
      </c>
      <c r="D101" s="12" t="s">
        <v>35</v>
      </c>
      <c r="E101" s="12" t="s">
        <v>71</v>
      </c>
      <c r="F101" s="12" t="s">
        <v>40</v>
      </c>
      <c r="G101" s="12" t="s">
        <v>512</v>
      </c>
      <c r="H101" s="149" t="s">
        <v>513</v>
      </c>
      <c r="I101" s="12" t="s">
        <v>393</v>
      </c>
      <c r="J101" s="12">
        <v>1500</v>
      </c>
      <c r="K101" s="20">
        <f t="shared" si="28"/>
        <v>350</v>
      </c>
      <c r="L101" s="20">
        <f t="shared" si="29"/>
        <v>350</v>
      </c>
      <c r="M101" s="20">
        <v>350</v>
      </c>
      <c r="N101" s="20"/>
      <c r="O101" s="20"/>
      <c r="P101" s="20"/>
      <c r="Q101" s="12"/>
      <c r="R101" s="12"/>
      <c r="S101" s="12"/>
      <c r="T101" s="12"/>
      <c r="U101" s="12"/>
      <c r="V101" s="12"/>
      <c r="W101" s="12">
        <v>300</v>
      </c>
      <c r="X101" s="149" t="s">
        <v>514</v>
      </c>
      <c r="Y101" s="149" t="s">
        <v>515</v>
      </c>
      <c r="Z101" s="12" t="s">
        <v>121</v>
      </c>
      <c r="AA101" s="12" t="s">
        <v>122</v>
      </c>
      <c r="AB101" s="12"/>
    </row>
    <row r="102" s="145" customFormat="1" ht="152" customHeight="1" spans="1:28">
      <c r="A102" s="12">
        <v>88</v>
      </c>
      <c r="B102" s="12" t="s">
        <v>516</v>
      </c>
      <c r="C102" s="12" t="s">
        <v>517</v>
      </c>
      <c r="D102" s="12" t="s">
        <v>35</v>
      </c>
      <c r="E102" s="12" t="s">
        <v>476</v>
      </c>
      <c r="F102" s="12" t="s">
        <v>40</v>
      </c>
      <c r="G102" s="12" t="s">
        <v>518</v>
      </c>
      <c r="H102" s="149" t="s">
        <v>519</v>
      </c>
      <c r="I102" s="12" t="s">
        <v>164</v>
      </c>
      <c r="J102" s="12">
        <v>2</v>
      </c>
      <c r="K102" s="20">
        <f t="shared" si="28"/>
        <v>240</v>
      </c>
      <c r="L102" s="20">
        <f t="shared" si="29"/>
        <v>240</v>
      </c>
      <c r="M102" s="20">
        <v>240</v>
      </c>
      <c r="N102" s="20"/>
      <c r="O102" s="20"/>
      <c r="P102" s="20"/>
      <c r="Q102" s="12"/>
      <c r="R102" s="12"/>
      <c r="S102" s="12"/>
      <c r="T102" s="12"/>
      <c r="U102" s="12"/>
      <c r="V102" s="12"/>
      <c r="W102" s="12">
        <v>240</v>
      </c>
      <c r="X102" s="149" t="s">
        <v>520</v>
      </c>
      <c r="Y102" s="149" t="s">
        <v>521</v>
      </c>
      <c r="Z102" s="12" t="s">
        <v>80</v>
      </c>
      <c r="AA102" s="12" t="s">
        <v>81</v>
      </c>
      <c r="AB102" s="12"/>
    </row>
    <row r="103" s="145" customFormat="1" ht="113" customHeight="1" spans="1:31">
      <c r="A103" s="12">
        <v>89</v>
      </c>
      <c r="B103" s="12" t="s">
        <v>522</v>
      </c>
      <c r="C103" s="12" t="s">
        <v>523</v>
      </c>
      <c r="D103" s="12" t="s">
        <v>35</v>
      </c>
      <c r="E103" s="12" t="s">
        <v>469</v>
      </c>
      <c r="F103" s="158" t="s">
        <v>40</v>
      </c>
      <c r="G103" s="19" t="s">
        <v>524</v>
      </c>
      <c r="H103" s="15" t="s">
        <v>525</v>
      </c>
      <c r="I103" s="19" t="s">
        <v>393</v>
      </c>
      <c r="J103" s="19">
        <v>3000</v>
      </c>
      <c r="K103" s="20">
        <f t="shared" si="28"/>
        <v>395</v>
      </c>
      <c r="L103" s="20">
        <f t="shared" si="29"/>
        <v>395</v>
      </c>
      <c r="M103" s="20">
        <v>395</v>
      </c>
      <c r="N103" s="151"/>
      <c r="O103" s="151"/>
      <c r="P103" s="151"/>
      <c r="Q103" s="19"/>
      <c r="R103" s="19"/>
      <c r="S103" s="19"/>
      <c r="T103" s="19"/>
      <c r="U103" s="158"/>
      <c r="V103" s="158"/>
      <c r="W103" s="19">
        <v>395</v>
      </c>
      <c r="X103" s="15" t="s">
        <v>526</v>
      </c>
      <c r="Y103" s="149" t="s">
        <v>527</v>
      </c>
      <c r="Z103" s="12" t="s">
        <v>465</v>
      </c>
      <c r="AA103" s="12" t="s">
        <v>466</v>
      </c>
      <c r="AB103" s="12"/>
      <c r="AC103" s="145"/>
      <c r="AD103" s="145"/>
      <c r="AE103" s="145" t="s">
        <v>63</v>
      </c>
    </row>
    <row r="104" s="145" customFormat="1" ht="139" customHeight="1" spans="1:28">
      <c r="A104" s="12">
        <v>90</v>
      </c>
      <c r="B104" s="12" t="s">
        <v>528</v>
      </c>
      <c r="C104" s="12" t="s">
        <v>529</v>
      </c>
      <c r="D104" s="12" t="s">
        <v>35</v>
      </c>
      <c r="E104" s="12" t="s">
        <v>469</v>
      </c>
      <c r="F104" s="158" t="s">
        <v>40</v>
      </c>
      <c r="G104" s="19" t="s">
        <v>524</v>
      </c>
      <c r="H104" s="15" t="s">
        <v>530</v>
      </c>
      <c r="I104" s="19" t="s">
        <v>444</v>
      </c>
      <c r="J104" s="19">
        <v>1</v>
      </c>
      <c r="K104" s="20">
        <f t="shared" si="28"/>
        <v>395</v>
      </c>
      <c r="L104" s="20">
        <f t="shared" si="29"/>
        <v>395</v>
      </c>
      <c r="M104" s="20"/>
      <c r="N104" s="151">
        <v>395</v>
      </c>
      <c r="O104" s="151"/>
      <c r="P104" s="151"/>
      <c r="Q104" s="19"/>
      <c r="R104" s="19"/>
      <c r="S104" s="19"/>
      <c r="T104" s="19"/>
      <c r="U104" s="158"/>
      <c r="V104" s="158"/>
      <c r="W104" s="19">
        <v>395</v>
      </c>
      <c r="X104" s="15" t="s">
        <v>526</v>
      </c>
      <c r="Y104" s="149" t="s">
        <v>531</v>
      </c>
      <c r="Z104" s="12" t="s">
        <v>465</v>
      </c>
      <c r="AA104" s="12" t="s">
        <v>466</v>
      </c>
      <c r="AB104" s="12"/>
    </row>
    <row r="105" s="145" customFormat="1" ht="119" customHeight="1" spans="1:28">
      <c r="A105" s="12">
        <v>91</v>
      </c>
      <c r="B105" s="12" t="s">
        <v>532</v>
      </c>
      <c r="C105" s="12" t="s">
        <v>533</v>
      </c>
      <c r="D105" s="12" t="s">
        <v>35</v>
      </c>
      <c r="E105" s="12" t="s">
        <v>39</v>
      </c>
      <c r="F105" s="158" t="s">
        <v>40</v>
      </c>
      <c r="G105" s="19" t="s">
        <v>373</v>
      </c>
      <c r="H105" s="15" t="s">
        <v>534</v>
      </c>
      <c r="I105" s="19" t="s">
        <v>43</v>
      </c>
      <c r="J105" s="19">
        <v>60</v>
      </c>
      <c r="K105" s="20">
        <f t="shared" si="28"/>
        <v>630</v>
      </c>
      <c r="L105" s="20">
        <f t="shared" si="29"/>
        <v>630</v>
      </c>
      <c r="M105" s="20"/>
      <c r="N105" s="151"/>
      <c r="O105" s="151"/>
      <c r="P105" s="151">
        <v>630</v>
      </c>
      <c r="Q105" s="19"/>
      <c r="R105" s="19"/>
      <c r="S105" s="19"/>
      <c r="T105" s="19"/>
      <c r="U105" s="158"/>
      <c r="V105" s="158"/>
      <c r="W105" s="19">
        <v>630</v>
      </c>
      <c r="X105" s="15" t="s">
        <v>535</v>
      </c>
      <c r="Y105" s="149"/>
      <c r="Z105" s="12" t="s">
        <v>536</v>
      </c>
      <c r="AA105" s="12" t="s">
        <v>537</v>
      </c>
      <c r="AB105" s="12"/>
    </row>
    <row r="106" s="145" customFormat="1" ht="139" customHeight="1" spans="1:31">
      <c r="A106" s="12">
        <v>92</v>
      </c>
      <c r="B106" s="12" t="s">
        <v>538</v>
      </c>
      <c r="C106" s="12" t="s">
        <v>539</v>
      </c>
      <c r="D106" s="12" t="s">
        <v>35</v>
      </c>
      <c r="E106" s="12" t="s">
        <v>39</v>
      </c>
      <c r="F106" s="158" t="s">
        <v>40</v>
      </c>
      <c r="G106" s="19" t="s">
        <v>540</v>
      </c>
      <c r="H106" s="15" t="s">
        <v>541</v>
      </c>
      <c r="I106" s="19" t="s">
        <v>164</v>
      </c>
      <c r="J106" s="19">
        <v>1</v>
      </c>
      <c r="K106" s="20">
        <f t="shared" si="28"/>
        <v>120</v>
      </c>
      <c r="L106" s="20">
        <f t="shared" si="29"/>
        <v>120</v>
      </c>
      <c r="M106" s="20"/>
      <c r="N106" s="151"/>
      <c r="O106" s="151"/>
      <c r="P106" s="151">
        <v>120</v>
      </c>
      <c r="Q106" s="19"/>
      <c r="R106" s="19"/>
      <c r="S106" s="19"/>
      <c r="T106" s="19"/>
      <c r="U106" s="158"/>
      <c r="V106" s="158"/>
      <c r="W106" s="19">
        <v>2000</v>
      </c>
      <c r="X106" s="15" t="s">
        <v>535</v>
      </c>
      <c r="Y106" s="149"/>
      <c r="Z106" s="12" t="s">
        <v>536</v>
      </c>
      <c r="AA106" s="12" t="s">
        <v>537</v>
      </c>
      <c r="AB106" s="12"/>
      <c r="AC106" s="145"/>
      <c r="AD106" s="145"/>
      <c r="AE106" s="145" t="s">
        <v>63</v>
      </c>
    </row>
    <row r="107" s="145" customFormat="1" ht="119" customHeight="1" spans="1:31">
      <c r="A107" s="12">
        <v>93</v>
      </c>
      <c r="B107" s="12" t="s">
        <v>542</v>
      </c>
      <c r="C107" s="12" t="s">
        <v>543</v>
      </c>
      <c r="D107" s="12" t="s">
        <v>35</v>
      </c>
      <c r="E107" s="12" t="s">
        <v>71</v>
      </c>
      <c r="F107" s="12" t="s">
        <v>40</v>
      </c>
      <c r="G107" s="12" t="s">
        <v>402</v>
      </c>
      <c r="H107" s="149" t="s">
        <v>544</v>
      </c>
      <c r="I107" s="19" t="s">
        <v>43</v>
      </c>
      <c r="J107" s="12">
        <v>600</v>
      </c>
      <c r="K107" s="20">
        <f t="shared" si="28"/>
        <v>980</v>
      </c>
      <c r="L107" s="20">
        <f t="shared" si="29"/>
        <v>980</v>
      </c>
      <c r="M107" s="20"/>
      <c r="N107" s="151">
        <v>980</v>
      </c>
      <c r="O107" s="151"/>
      <c r="P107" s="151"/>
      <c r="Q107" s="19"/>
      <c r="R107" s="19"/>
      <c r="S107" s="19"/>
      <c r="T107" s="19"/>
      <c r="U107" s="158"/>
      <c r="V107" s="158"/>
      <c r="W107" s="19">
        <v>100</v>
      </c>
      <c r="X107" s="15" t="s">
        <v>535</v>
      </c>
      <c r="Y107" s="149"/>
      <c r="Z107" s="12" t="s">
        <v>80</v>
      </c>
      <c r="AA107" s="12" t="s">
        <v>81</v>
      </c>
      <c r="AB107" s="12"/>
      <c r="AC107" s="145"/>
      <c r="AD107" s="145"/>
      <c r="AE107" s="145" t="s">
        <v>63</v>
      </c>
    </row>
    <row r="108" s="145" customFormat="1" ht="105" customHeight="1" spans="1:28">
      <c r="A108" s="12">
        <v>94</v>
      </c>
      <c r="B108" s="12" t="s">
        <v>545</v>
      </c>
      <c r="C108" s="12" t="s">
        <v>546</v>
      </c>
      <c r="D108" s="12" t="s">
        <v>35</v>
      </c>
      <c r="E108" s="12" t="s">
        <v>547</v>
      </c>
      <c r="F108" s="12" t="s">
        <v>40</v>
      </c>
      <c r="G108" s="12" t="s">
        <v>378</v>
      </c>
      <c r="H108" s="149" t="s">
        <v>548</v>
      </c>
      <c r="I108" s="12" t="s">
        <v>393</v>
      </c>
      <c r="J108" s="12">
        <v>4000</v>
      </c>
      <c r="K108" s="20">
        <f t="shared" si="28"/>
        <v>800</v>
      </c>
      <c r="L108" s="20">
        <f t="shared" si="29"/>
        <v>800</v>
      </c>
      <c r="M108" s="20"/>
      <c r="N108" s="20">
        <v>800</v>
      </c>
      <c r="O108" s="20"/>
      <c r="P108" s="20"/>
      <c r="Q108" s="12"/>
      <c r="R108" s="12"/>
      <c r="S108" s="12"/>
      <c r="T108" s="12"/>
      <c r="U108" s="12"/>
      <c r="V108" s="12"/>
      <c r="W108" s="12">
        <v>2000</v>
      </c>
      <c r="X108" s="149" t="s">
        <v>549</v>
      </c>
      <c r="Y108" s="149" t="s">
        <v>550</v>
      </c>
      <c r="Z108" s="12" t="s">
        <v>551</v>
      </c>
      <c r="AA108" s="12" t="s">
        <v>552</v>
      </c>
      <c r="AB108" s="12"/>
    </row>
    <row r="109" s="145" customFormat="1" ht="105" customHeight="1" spans="1:28">
      <c r="A109" s="12">
        <v>95</v>
      </c>
      <c r="B109" s="12" t="s">
        <v>553</v>
      </c>
      <c r="C109" s="12" t="s">
        <v>554</v>
      </c>
      <c r="D109" s="12" t="s">
        <v>35</v>
      </c>
      <c r="E109" s="12" t="s">
        <v>547</v>
      </c>
      <c r="F109" s="12" t="s">
        <v>40</v>
      </c>
      <c r="G109" s="12" t="s">
        <v>442</v>
      </c>
      <c r="H109" s="149" t="s">
        <v>555</v>
      </c>
      <c r="I109" s="12" t="s">
        <v>43</v>
      </c>
      <c r="J109" s="12">
        <v>170</v>
      </c>
      <c r="K109" s="20">
        <f t="shared" si="28"/>
        <v>850</v>
      </c>
      <c r="L109" s="20">
        <f t="shared" si="29"/>
        <v>850</v>
      </c>
      <c r="M109" s="20"/>
      <c r="N109" s="20">
        <v>850</v>
      </c>
      <c r="O109" s="20"/>
      <c r="P109" s="20"/>
      <c r="Q109" s="12"/>
      <c r="R109" s="12"/>
      <c r="S109" s="12"/>
      <c r="T109" s="12"/>
      <c r="U109" s="12"/>
      <c r="V109" s="12"/>
      <c r="W109" s="12">
        <v>850</v>
      </c>
      <c r="X109" s="149" t="s">
        <v>556</v>
      </c>
      <c r="Y109" s="149" t="s">
        <v>557</v>
      </c>
      <c r="Z109" s="12" t="s">
        <v>551</v>
      </c>
      <c r="AA109" s="12" t="s">
        <v>552</v>
      </c>
      <c r="AB109" s="12"/>
    </row>
    <row r="110" s="145" customFormat="1" ht="119" customHeight="1" spans="1:31">
      <c r="A110" s="12">
        <v>96</v>
      </c>
      <c r="B110" s="12" t="s">
        <v>558</v>
      </c>
      <c r="C110" s="12" t="s">
        <v>559</v>
      </c>
      <c r="D110" s="12" t="s">
        <v>35</v>
      </c>
      <c r="E110" s="12" t="s">
        <v>39</v>
      </c>
      <c r="F110" s="12" t="s">
        <v>40</v>
      </c>
      <c r="G110" s="12" t="s">
        <v>402</v>
      </c>
      <c r="H110" s="159" t="s">
        <v>560</v>
      </c>
      <c r="I110" s="19" t="s">
        <v>561</v>
      </c>
      <c r="J110" s="12">
        <v>21</v>
      </c>
      <c r="K110" s="20">
        <f t="shared" si="28"/>
        <v>1700</v>
      </c>
      <c r="L110" s="20">
        <f t="shared" si="29"/>
        <v>1700</v>
      </c>
      <c r="M110" s="20"/>
      <c r="N110" s="20">
        <v>1700</v>
      </c>
      <c r="O110" s="20"/>
      <c r="P110" s="20"/>
      <c r="Q110" s="12"/>
      <c r="R110" s="12"/>
      <c r="S110" s="12"/>
      <c r="T110" s="12"/>
      <c r="U110" s="12"/>
      <c r="V110" s="12"/>
      <c r="W110" s="12">
        <v>3000</v>
      </c>
      <c r="X110" s="149" t="s">
        <v>562</v>
      </c>
      <c r="Y110" s="149"/>
      <c r="Z110" s="19" t="s">
        <v>121</v>
      </c>
      <c r="AA110" s="19" t="s">
        <v>122</v>
      </c>
      <c r="AB110" s="12"/>
      <c r="AC110" s="145"/>
      <c r="AD110" s="145"/>
      <c r="AE110" s="145" t="s">
        <v>63</v>
      </c>
    </row>
    <row r="111" s="145" customFormat="1" ht="105" customHeight="1" spans="1:31">
      <c r="A111" s="12">
        <v>97</v>
      </c>
      <c r="B111" s="12" t="s">
        <v>563</v>
      </c>
      <c r="C111" s="12" t="s">
        <v>564</v>
      </c>
      <c r="D111" s="12" t="s">
        <v>35</v>
      </c>
      <c r="E111" s="12" t="s">
        <v>39</v>
      </c>
      <c r="F111" s="12" t="s">
        <v>40</v>
      </c>
      <c r="G111" s="12" t="s">
        <v>192</v>
      </c>
      <c r="H111" s="149" t="s">
        <v>565</v>
      </c>
      <c r="I111" s="12" t="s">
        <v>561</v>
      </c>
      <c r="J111" s="12">
        <v>4</v>
      </c>
      <c r="K111" s="20">
        <f t="shared" si="28"/>
        <v>300</v>
      </c>
      <c r="L111" s="20">
        <f t="shared" si="29"/>
        <v>300</v>
      </c>
      <c r="M111" s="20"/>
      <c r="N111" s="20"/>
      <c r="O111" s="20"/>
      <c r="P111" s="20">
        <v>300</v>
      </c>
      <c r="Q111" s="12"/>
      <c r="R111" s="12"/>
      <c r="S111" s="12"/>
      <c r="T111" s="12"/>
      <c r="U111" s="12"/>
      <c r="V111" s="12"/>
      <c r="W111" s="12">
        <v>450</v>
      </c>
      <c r="X111" s="149" t="s">
        <v>566</v>
      </c>
      <c r="Y111" s="149"/>
      <c r="Z111" s="12" t="s">
        <v>80</v>
      </c>
      <c r="AA111" s="12" t="s">
        <v>81</v>
      </c>
      <c r="AB111" s="12"/>
      <c r="AC111" s="145"/>
      <c r="AD111" s="145"/>
      <c r="AE111" s="145" t="s">
        <v>63</v>
      </c>
    </row>
    <row r="112" s="145" customFormat="1" ht="105" customHeight="1" spans="1:31">
      <c r="A112" s="12">
        <v>98</v>
      </c>
      <c r="B112" s="12" t="s">
        <v>567</v>
      </c>
      <c r="C112" s="12" t="s">
        <v>568</v>
      </c>
      <c r="D112" s="12" t="s">
        <v>35</v>
      </c>
      <c r="E112" s="12" t="s">
        <v>39</v>
      </c>
      <c r="F112" s="12" t="s">
        <v>40</v>
      </c>
      <c r="G112" s="12" t="s">
        <v>197</v>
      </c>
      <c r="H112" s="149" t="s">
        <v>569</v>
      </c>
      <c r="I112" s="12" t="s">
        <v>561</v>
      </c>
      <c r="J112" s="12">
        <v>28.4</v>
      </c>
      <c r="K112" s="20">
        <f t="shared" si="28"/>
        <v>2130</v>
      </c>
      <c r="L112" s="20">
        <f t="shared" si="29"/>
        <v>2130</v>
      </c>
      <c r="M112" s="20">
        <v>2130</v>
      </c>
      <c r="N112" s="20"/>
      <c r="O112" s="20"/>
      <c r="P112" s="20"/>
      <c r="Q112" s="12"/>
      <c r="R112" s="12"/>
      <c r="S112" s="12"/>
      <c r="T112" s="12"/>
      <c r="U112" s="12"/>
      <c r="V112" s="12"/>
      <c r="W112" s="12">
        <v>1020</v>
      </c>
      <c r="X112" s="149" t="s">
        <v>570</v>
      </c>
      <c r="Y112" s="149"/>
      <c r="Z112" s="12" t="s">
        <v>80</v>
      </c>
      <c r="AA112" s="12" t="s">
        <v>81</v>
      </c>
      <c r="AB112" s="12"/>
      <c r="AC112" s="145"/>
      <c r="AD112" s="145"/>
      <c r="AE112" s="145" t="s">
        <v>63</v>
      </c>
    </row>
    <row r="113" s="145" customFormat="1" ht="105" customHeight="1" spans="1:31">
      <c r="A113" s="12">
        <v>99</v>
      </c>
      <c r="B113" s="12" t="s">
        <v>571</v>
      </c>
      <c r="C113" s="12" t="s">
        <v>572</v>
      </c>
      <c r="D113" s="12" t="s">
        <v>35</v>
      </c>
      <c r="E113" s="12" t="s">
        <v>39</v>
      </c>
      <c r="F113" s="12" t="s">
        <v>40</v>
      </c>
      <c r="G113" s="12" t="s">
        <v>202</v>
      </c>
      <c r="H113" s="149" t="s">
        <v>573</v>
      </c>
      <c r="I113" s="12" t="s">
        <v>561</v>
      </c>
      <c r="J113" s="12">
        <v>16</v>
      </c>
      <c r="K113" s="20">
        <f t="shared" si="28"/>
        <v>1200</v>
      </c>
      <c r="L113" s="20">
        <f t="shared" si="29"/>
        <v>1200</v>
      </c>
      <c r="M113" s="20"/>
      <c r="N113" s="20">
        <v>1200</v>
      </c>
      <c r="O113" s="20"/>
      <c r="P113" s="20"/>
      <c r="Q113" s="12"/>
      <c r="R113" s="12"/>
      <c r="S113" s="12"/>
      <c r="T113" s="12"/>
      <c r="U113" s="12"/>
      <c r="V113" s="12"/>
      <c r="W113" s="12">
        <v>1200</v>
      </c>
      <c r="X113" s="149" t="s">
        <v>574</v>
      </c>
      <c r="Y113" s="149"/>
      <c r="Z113" s="12" t="s">
        <v>80</v>
      </c>
      <c r="AA113" s="12" t="s">
        <v>81</v>
      </c>
      <c r="AB113" s="12"/>
      <c r="AC113" s="145"/>
      <c r="AD113" s="145"/>
      <c r="AE113" s="145" t="s">
        <v>63</v>
      </c>
    </row>
    <row r="114" s="145" customFormat="1" ht="105" customHeight="1" spans="1:31">
      <c r="A114" s="12">
        <v>100</v>
      </c>
      <c r="B114" s="12" t="s">
        <v>575</v>
      </c>
      <c r="C114" s="12" t="s">
        <v>576</v>
      </c>
      <c r="D114" s="12" t="s">
        <v>35</v>
      </c>
      <c r="E114" s="12" t="s">
        <v>39</v>
      </c>
      <c r="F114" s="12" t="s">
        <v>40</v>
      </c>
      <c r="G114" s="12" t="s">
        <v>207</v>
      </c>
      <c r="H114" s="149" t="s">
        <v>577</v>
      </c>
      <c r="I114" s="12" t="s">
        <v>561</v>
      </c>
      <c r="J114" s="12">
        <v>17</v>
      </c>
      <c r="K114" s="20">
        <f t="shared" si="28"/>
        <v>1275</v>
      </c>
      <c r="L114" s="20">
        <f t="shared" si="29"/>
        <v>1275</v>
      </c>
      <c r="M114" s="20"/>
      <c r="N114" s="20">
        <v>1275</v>
      </c>
      <c r="O114" s="20"/>
      <c r="P114" s="20"/>
      <c r="Q114" s="12"/>
      <c r="R114" s="12"/>
      <c r="S114" s="12"/>
      <c r="T114" s="12"/>
      <c r="U114" s="12"/>
      <c r="V114" s="12"/>
      <c r="W114" s="12">
        <v>525</v>
      </c>
      <c r="X114" s="149" t="s">
        <v>578</v>
      </c>
      <c r="Y114" s="149"/>
      <c r="Z114" s="12" t="s">
        <v>80</v>
      </c>
      <c r="AA114" s="12" t="s">
        <v>81</v>
      </c>
      <c r="AB114" s="12"/>
      <c r="AC114" s="145"/>
      <c r="AD114" s="145"/>
      <c r="AE114" s="145" t="s">
        <v>63</v>
      </c>
    </row>
    <row r="115" s="145" customFormat="1" ht="105" customHeight="1" spans="1:28">
      <c r="A115" s="12">
        <v>101</v>
      </c>
      <c r="B115" s="12" t="s">
        <v>579</v>
      </c>
      <c r="C115" s="12" t="s">
        <v>580</v>
      </c>
      <c r="D115" s="12" t="s">
        <v>35</v>
      </c>
      <c r="E115" s="12" t="s">
        <v>39</v>
      </c>
      <c r="F115" s="12" t="s">
        <v>40</v>
      </c>
      <c r="G115" s="12" t="s">
        <v>212</v>
      </c>
      <c r="H115" s="149" t="s">
        <v>581</v>
      </c>
      <c r="I115" s="12" t="s">
        <v>561</v>
      </c>
      <c r="J115" s="12">
        <v>12.1</v>
      </c>
      <c r="K115" s="20">
        <f t="shared" si="28"/>
        <v>907.5</v>
      </c>
      <c r="L115" s="20">
        <f t="shared" si="29"/>
        <v>907.5</v>
      </c>
      <c r="M115" s="20"/>
      <c r="N115" s="20"/>
      <c r="O115" s="20"/>
      <c r="P115" s="20">
        <f>J115*75</f>
        <v>907.5</v>
      </c>
      <c r="Q115" s="12"/>
      <c r="R115" s="12"/>
      <c r="S115" s="12"/>
      <c r="T115" s="12"/>
      <c r="U115" s="12"/>
      <c r="V115" s="12"/>
      <c r="W115" s="12">
        <v>1027</v>
      </c>
      <c r="X115" s="149" t="s">
        <v>582</v>
      </c>
      <c r="Y115" s="149"/>
      <c r="Z115" s="12" t="s">
        <v>80</v>
      </c>
      <c r="AA115" s="12" t="s">
        <v>81</v>
      </c>
      <c r="AB115" s="12"/>
    </row>
    <row r="116" s="145" customFormat="1" ht="105" customHeight="1" spans="1:31">
      <c r="A116" s="12">
        <v>102</v>
      </c>
      <c r="B116" s="12" t="s">
        <v>583</v>
      </c>
      <c r="C116" s="12" t="s">
        <v>584</v>
      </c>
      <c r="D116" s="12" t="s">
        <v>35</v>
      </c>
      <c r="E116" s="12" t="s">
        <v>39</v>
      </c>
      <c r="F116" s="12" t="s">
        <v>40</v>
      </c>
      <c r="G116" s="12" t="s">
        <v>222</v>
      </c>
      <c r="H116" s="149" t="s">
        <v>585</v>
      </c>
      <c r="I116" s="12" t="s">
        <v>561</v>
      </c>
      <c r="J116" s="12">
        <v>5.5</v>
      </c>
      <c r="K116" s="20">
        <f t="shared" si="28"/>
        <v>412.5</v>
      </c>
      <c r="L116" s="20">
        <f t="shared" si="29"/>
        <v>412.5</v>
      </c>
      <c r="M116" s="20"/>
      <c r="N116" s="20"/>
      <c r="O116" s="20"/>
      <c r="P116" s="20">
        <f>J116*75</f>
        <v>412.5</v>
      </c>
      <c r="Q116" s="12"/>
      <c r="R116" s="12"/>
      <c r="S116" s="12"/>
      <c r="T116" s="12"/>
      <c r="U116" s="12"/>
      <c r="V116" s="12"/>
      <c r="W116" s="12">
        <v>375</v>
      </c>
      <c r="X116" s="149" t="s">
        <v>586</v>
      </c>
      <c r="Y116" s="149"/>
      <c r="Z116" s="12" t="s">
        <v>80</v>
      </c>
      <c r="AA116" s="12" t="s">
        <v>81</v>
      </c>
      <c r="AB116" s="12"/>
      <c r="AC116" s="145"/>
      <c r="AD116" s="145"/>
      <c r="AE116" s="145" t="s">
        <v>63</v>
      </c>
    </row>
    <row r="117" s="145" customFormat="1" ht="105" customHeight="1" spans="1:28">
      <c r="A117" s="12">
        <v>103</v>
      </c>
      <c r="B117" s="12" t="s">
        <v>587</v>
      </c>
      <c r="C117" s="12" t="s">
        <v>588</v>
      </c>
      <c r="D117" s="12" t="s">
        <v>35</v>
      </c>
      <c r="E117" s="12" t="s">
        <v>39</v>
      </c>
      <c r="F117" s="12" t="s">
        <v>40</v>
      </c>
      <c r="G117" s="12" t="s">
        <v>589</v>
      </c>
      <c r="H117" s="149" t="s">
        <v>590</v>
      </c>
      <c r="I117" s="12" t="s">
        <v>561</v>
      </c>
      <c r="J117" s="12">
        <v>14.6</v>
      </c>
      <c r="K117" s="20">
        <f t="shared" si="28"/>
        <v>1095</v>
      </c>
      <c r="L117" s="20">
        <f t="shared" si="29"/>
        <v>1095</v>
      </c>
      <c r="M117" s="20"/>
      <c r="N117" s="20">
        <v>1095</v>
      </c>
      <c r="O117" s="20"/>
      <c r="P117" s="20"/>
      <c r="Q117" s="12"/>
      <c r="R117" s="12"/>
      <c r="S117" s="12"/>
      <c r="T117" s="12"/>
      <c r="U117" s="12"/>
      <c r="V117" s="12"/>
      <c r="W117" s="12">
        <v>1095</v>
      </c>
      <c r="X117" s="149" t="s">
        <v>591</v>
      </c>
      <c r="Y117" s="149"/>
      <c r="Z117" s="12" t="s">
        <v>80</v>
      </c>
      <c r="AA117" s="12" t="s">
        <v>81</v>
      </c>
      <c r="AB117" s="12"/>
    </row>
    <row r="118" s="145" customFormat="1" ht="105" customHeight="1" spans="1:31">
      <c r="A118" s="12">
        <v>104</v>
      </c>
      <c r="B118" s="12" t="s">
        <v>592</v>
      </c>
      <c r="C118" s="12" t="s">
        <v>593</v>
      </c>
      <c r="D118" s="12" t="s">
        <v>35</v>
      </c>
      <c r="E118" s="12" t="s">
        <v>39</v>
      </c>
      <c r="F118" s="12" t="s">
        <v>40</v>
      </c>
      <c r="G118" s="12" t="s">
        <v>227</v>
      </c>
      <c r="H118" s="149" t="s">
        <v>594</v>
      </c>
      <c r="I118" s="12" t="s">
        <v>561</v>
      </c>
      <c r="J118" s="12">
        <v>10.7</v>
      </c>
      <c r="K118" s="20">
        <f t="shared" si="28"/>
        <v>802.5</v>
      </c>
      <c r="L118" s="20">
        <f t="shared" si="29"/>
        <v>802.5</v>
      </c>
      <c r="M118" s="20"/>
      <c r="N118" s="20">
        <v>802.5</v>
      </c>
      <c r="O118" s="20"/>
      <c r="P118" s="20"/>
      <c r="Q118" s="12"/>
      <c r="R118" s="12"/>
      <c r="S118" s="12"/>
      <c r="T118" s="12"/>
      <c r="U118" s="12"/>
      <c r="V118" s="12"/>
      <c r="W118" s="12">
        <v>802</v>
      </c>
      <c r="X118" s="149" t="s">
        <v>595</v>
      </c>
      <c r="Y118" s="149"/>
      <c r="Z118" s="12" t="s">
        <v>80</v>
      </c>
      <c r="AA118" s="12" t="s">
        <v>81</v>
      </c>
      <c r="AB118" s="12"/>
      <c r="AC118" s="145"/>
      <c r="AD118" s="145"/>
      <c r="AE118" s="145" t="s">
        <v>63</v>
      </c>
    </row>
    <row r="119" s="145" customFormat="1" ht="105" customHeight="1" spans="1:31">
      <c r="A119" s="12">
        <v>105</v>
      </c>
      <c r="B119" s="12" t="s">
        <v>596</v>
      </c>
      <c r="C119" s="12" t="s">
        <v>597</v>
      </c>
      <c r="D119" s="12" t="s">
        <v>35</v>
      </c>
      <c r="E119" s="12" t="s">
        <v>39</v>
      </c>
      <c r="F119" s="12" t="s">
        <v>40</v>
      </c>
      <c r="G119" s="12" t="s">
        <v>237</v>
      </c>
      <c r="H119" s="149" t="s">
        <v>598</v>
      </c>
      <c r="I119" s="12" t="s">
        <v>561</v>
      </c>
      <c r="J119" s="12">
        <v>20</v>
      </c>
      <c r="K119" s="20">
        <f t="shared" si="28"/>
        <v>1500</v>
      </c>
      <c r="L119" s="20">
        <f t="shared" si="29"/>
        <v>1500</v>
      </c>
      <c r="M119" s="20">
        <v>1500</v>
      </c>
      <c r="N119" s="20"/>
      <c r="O119" s="20"/>
      <c r="P119" s="20"/>
      <c r="Q119" s="12"/>
      <c r="R119" s="12"/>
      <c r="S119" s="12"/>
      <c r="T119" s="12"/>
      <c r="U119" s="12"/>
      <c r="V119" s="12"/>
      <c r="W119" s="12">
        <v>1500</v>
      </c>
      <c r="X119" s="149" t="s">
        <v>599</v>
      </c>
      <c r="Y119" s="149"/>
      <c r="Z119" s="12" t="s">
        <v>80</v>
      </c>
      <c r="AA119" s="12" t="s">
        <v>81</v>
      </c>
      <c r="AB119" s="12"/>
      <c r="AC119" s="145"/>
      <c r="AD119" s="145"/>
      <c r="AE119" s="145" t="s">
        <v>63</v>
      </c>
    </row>
    <row r="120" s="145" customFormat="1" ht="105" customHeight="1" spans="1:31">
      <c r="A120" s="12">
        <v>106</v>
      </c>
      <c r="B120" s="12" t="s">
        <v>600</v>
      </c>
      <c r="C120" s="12" t="s">
        <v>601</v>
      </c>
      <c r="D120" s="12" t="s">
        <v>35</v>
      </c>
      <c r="E120" s="12" t="s">
        <v>39</v>
      </c>
      <c r="F120" s="12" t="s">
        <v>40</v>
      </c>
      <c r="G120" s="12" t="s">
        <v>242</v>
      </c>
      <c r="H120" s="149" t="s">
        <v>598</v>
      </c>
      <c r="I120" s="12" t="s">
        <v>561</v>
      </c>
      <c r="J120" s="12">
        <v>20</v>
      </c>
      <c r="K120" s="20">
        <f t="shared" si="28"/>
        <v>1500</v>
      </c>
      <c r="L120" s="20">
        <f t="shared" si="29"/>
        <v>1500</v>
      </c>
      <c r="M120" s="20">
        <v>1500</v>
      </c>
      <c r="N120" s="20"/>
      <c r="O120" s="20"/>
      <c r="P120" s="20"/>
      <c r="Q120" s="12"/>
      <c r="R120" s="12"/>
      <c r="S120" s="12"/>
      <c r="T120" s="12"/>
      <c r="U120" s="12"/>
      <c r="V120" s="12"/>
      <c r="W120" s="12">
        <v>1500</v>
      </c>
      <c r="X120" s="149" t="s">
        <v>602</v>
      </c>
      <c r="Y120" s="149"/>
      <c r="Z120" s="12" t="s">
        <v>80</v>
      </c>
      <c r="AA120" s="12" t="s">
        <v>81</v>
      </c>
      <c r="AB120" s="12"/>
      <c r="AC120" s="145"/>
      <c r="AD120" s="145"/>
      <c r="AE120" s="145" t="s">
        <v>63</v>
      </c>
    </row>
    <row r="121" s="145" customFormat="1" ht="105" customHeight="1" spans="1:31">
      <c r="A121" s="12">
        <v>107</v>
      </c>
      <c r="B121" s="12" t="s">
        <v>603</v>
      </c>
      <c r="C121" s="12" t="s">
        <v>604</v>
      </c>
      <c r="D121" s="12" t="s">
        <v>35</v>
      </c>
      <c r="E121" s="12" t="s">
        <v>39</v>
      </c>
      <c r="F121" s="12" t="s">
        <v>40</v>
      </c>
      <c r="G121" s="12" t="s">
        <v>247</v>
      </c>
      <c r="H121" s="149" t="s">
        <v>605</v>
      </c>
      <c r="I121" s="12" t="s">
        <v>561</v>
      </c>
      <c r="J121" s="12">
        <v>24.55</v>
      </c>
      <c r="K121" s="20">
        <f t="shared" si="28"/>
        <v>1841.25</v>
      </c>
      <c r="L121" s="20">
        <f t="shared" si="29"/>
        <v>1841.25</v>
      </c>
      <c r="M121" s="20"/>
      <c r="N121" s="20">
        <f>J121*75</f>
        <v>1841.25</v>
      </c>
      <c r="O121" s="20"/>
      <c r="P121" s="20"/>
      <c r="Q121" s="12"/>
      <c r="R121" s="12"/>
      <c r="S121" s="12"/>
      <c r="T121" s="12"/>
      <c r="U121" s="12"/>
      <c r="V121" s="12"/>
      <c r="W121" s="12">
        <v>1732</v>
      </c>
      <c r="X121" s="149" t="s">
        <v>606</v>
      </c>
      <c r="Y121" s="149"/>
      <c r="Z121" s="12" t="s">
        <v>80</v>
      </c>
      <c r="AA121" s="12" t="s">
        <v>81</v>
      </c>
      <c r="AB121" s="12"/>
      <c r="AC121" s="145"/>
      <c r="AD121" s="145"/>
      <c r="AE121" s="145" t="s">
        <v>63</v>
      </c>
    </row>
    <row r="122" s="145" customFormat="1" ht="105" customHeight="1" spans="1:28">
      <c r="A122" s="12">
        <v>108</v>
      </c>
      <c r="B122" s="12" t="s">
        <v>607</v>
      </c>
      <c r="C122" s="12" t="s">
        <v>608</v>
      </c>
      <c r="D122" s="12" t="s">
        <v>35</v>
      </c>
      <c r="E122" s="12" t="s">
        <v>39</v>
      </c>
      <c r="F122" s="12" t="s">
        <v>40</v>
      </c>
      <c r="G122" s="12" t="s">
        <v>609</v>
      </c>
      <c r="H122" s="149" t="s">
        <v>610</v>
      </c>
      <c r="I122" s="12" t="s">
        <v>561</v>
      </c>
      <c r="J122" s="12">
        <v>7.2</v>
      </c>
      <c r="K122" s="20">
        <f t="shared" si="28"/>
        <v>540</v>
      </c>
      <c r="L122" s="20">
        <f t="shared" si="29"/>
        <v>540</v>
      </c>
      <c r="M122" s="20">
        <v>540</v>
      </c>
      <c r="N122" s="20"/>
      <c r="O122" s="20"/>
      <c r="P122" s="20"/>
      <c r="Q122" s="12"/>
      <c r="R122" s="12"/>
      <c r="S122" s="12"/>
      <c r="T122" s="12"/>
      <c r="U122" s="12"/>
      <c r="V122" s="12"/>
      <c r="W122" s="12">
        <v>540</v>
      </c>
      <c r="X122" s="149" t="s">
        <v>611</v>
      </c>
      <c r="Y122" s="149"/>
      <c r="Z122" s="12" t="s">
        <v>80</v>
      </c>
      <c r="AA122" s="12" t="s">
        <v>81</v>
      </c>
      <c r="AB122" s="12"/>
    </row>
    <row r="123" s="145" customFormat="1" ht="105" customHeight="1" spans="1:31">
      <c r="A123" s="12">
        <v>109</v>
      </c>
      <c r="B123" s="12" t="s">
        <v>612</v>
      </c>
      <c r="C123" s="12" t="s">
        <v>613</v>
      </c>
      <c r="D123" s="12" t="s">
        <v>35</v>
      </c>
      <c r="E123" s="12" t="s">
        <v>39</v>
      </c>
      <c r="F123" s="12" t="s">
        <v>40</v>
      </c>
      <c r="G123" s="12" t="s">
        <v>252</v>
      </c>
      <c r="H123" s="149" t="s">
        <v>598</v>
      </c>
      <c r="I123" s="12" t="s">
        <v>561</v>
      </c>
      <c r="J123" s="12">
        <v>20</v>
      </c>
      <c r="K123" s="20">
        <f t="shared" si="28"/>
        <v>1500</v>
      </c>
      <c r="L123" s="20">
        <f t="shared" si="29"/>
        <v>1500</v>
      </c>
      <c r="M123" s="20">
        <v>1500</v>
      </c>
      <c r="N123" s="20"/>
      <c r="O123" s="20"/>
      <c r="P123" s="20"/>
      <c r="Q123" s="12"/>
      <c r="R123" s="12"/>
      <c r="S123" s="12"/>
      <c r="T123" s="12"/>
      <c r="U123" s="12"/>
      <c r="V123" s="12"/>
      <c r="W123" s="12">
        <v>1500</v>
      </c>
      <c r="X123" s="149" t="s">
        <v>599</v>
      </c>
      <c r="Y123" s="149"/>
      <c r="Z123" s="12" t="s">
        <v>80</v>
      </c>
      <c r="AA123" s="12" t="s">
        <v>81</v>
      </c>
      <c r="AB123" s="12"/>
      <c r="AC123" s="145"/>
      <c r="AD123" s="145"/>
      <c r="AE123" s="145" t="s">
        <v>63</v>
      </c>
    </row>
    <row r="124" s="145" customFormat="1" ht="105" customHeight="1" spans="1:31">
      <c r="A124" s="12">
        <v>110</v>
      </c>
      <c r="B124" s="12" t="s">
        <v>614</v>
      </c>
      <c r="C124" s="12" t="s">
        <v>615</v>
      </c>
      <c r="D124" s="12" t="s">
        <v>35</v>
      </c>
      <c r="E124" s="12" t="s">
        <v>39</v>
      </c>
      <c r="F124" s="12" t="s">
        <v>40</v>
      </c>
      <c r="G124" s="12" t="s">
        <v>257</v>
      </c>
      <c r="H124" s="149" t="s">
        <v>616</v>
      </c>
      <c r="I124" s="12" t="s">
        <v>561</v>
      </c>
      <c r="J124" s="12">
        <v>15</v>
      </c>
      <c r="K124" s="20">
        <f t="shared" si="28"/>
        <v>1125</v>
      </c>
      <c r="L124" s="20">
        <f t="shared" si="29"/>
        <v>1125</v>
      </c>
      <c r="M124" s="20">
        <f>J124*75</f>
        <v>1125</v>
      </c>
      <c r="N124" s="20"/>
      <c r="O124" s="20"/>
      <c r="P124" s="20"/>
      <c r="Q124" s="12"/>
      <c r="R124" s="12"/>
      <c r="S124" s="12"/>
      <c r="T124" s="12"/>
      <c r="U124" s="12"/>
      <c r="V124" s="12"/>
      <c r="W124" s="12">
        <v>562</v>
      </c>
      <c r="X124" s="149" t="s">
        <v>617</v>
      </c>
      <c r="Y124" s="149"/>
      <c r="Z124" s="12" t="s">
        <v>80</v>
      </c>
      <c r="AA124" s="12" t="s">
        <v>81</v>
      </c>
      <c r="AB124" s="12"/>
      <c r="AC124" s="145"/>
      <c r="AD124" s="145"/>
      <c r="AE124" s="145" t="s">
        <v>63</v>
      </c>
    </row>
    <row r="125" s="145" customFormat="1" ht="105" customHeight="1" spans="1:31">
      <c r="A125" s="12">
        <v>111</v>
      </c>
      <c r="B125" s="12" t="s">
        <v>618</v>
      </c>
      <c r="C125" s="12" t="s">
        <v>619</v>
      </c>
      <c r="D125" s="12" t="s">
        <v>35</v>
      </c>
      <c r="E125" s="12" t="s">
        <v>39</v>
      </c>
      <c r="F125" s="12" t="s">
        <v>40</v>
      </c>
      <c r="G125" s="12" t="s">
        <v>262</v>
      </c>
      <c r="H125" s="149" t="s">
        <v>598</v>
      </c>
      <c r="I125" s="12" t="s">
        <v>561</v>
      </c>
      <c r="J125" s="12">
        <v>20</v>
      </c>
      <c r="K125" s="20">
        <f t="shared" si="28"/>
        <v>1500</v>
      </c>
      <c r="L125" s="20">
        <f t="shared" si="29"/>
        <v>1500</v>
      </c>
      <c r="M125" s="20">
        <v>1500</v>
      </c>
      <c r="N125" s="20"/>
      <c r="O125" s="20"/>
      <c r="P125" s="20"/>
      <c r="Q125" s="12"/>
      <c r="R125" s="12"/>
      <c r="S125" s="12"/>
      <c r="T125" s="12"/>
      <c r="U125" s="12"/>
      <c r="V125" s="12"/>
      <c r="W125" s="12">
        <v>1500</v>
      </c>
      <c r="X125" s="149" t="s">
        <v>599</v>
      </c>
      <c r="Y125" s="149"/>
      <c r="Z125" s="12" t="s">
        <v>80</v>
      </c>
      <c r="AA125" s="12" t="s">
        <v>81</v>
      </c>
      <c r="AB125" s="12"/>
      <c r="AC125" s="145"/>
      <c r="AD125" s="145"/>
      <c r="AE125" s="145" t="s">
        <v>63</v>
      </c>
    </row>
    <row r="126" s="145" customFormat="1" ht="105" customHeight="1" spans="1:28">
      <c r="A126" s="12">
        <v>112</v>
      </c>
      <c r="B126" s="12" t="s">
        <v>620</v>
      </c>
      <c r="C126" s="12" t="s">
        <v>621</v>
      </c>
      <c r="D126" s="12" t="s">
        <v>35</v>
      </c>
      <c r="E126" s="12" t="s">
        <v>39</v>
      </c>
      <c r="F126" s="12" t="s">
        <v>40</v>
      </c>
      <c r="G126" s="12" t="s">
        <v>267</v>
      </c>
      <c r="H126" s="149" t="s">
        <v>622</v>
      </c>
      <c r="I126" s="12" t="s">
        <v>561</v>
      </c>
      <c r="J126" s="12">
        <v>11.2</v>
      </c>
      <c r="K126" s="20">
        <f t="shared" si="28"/>
        <v>840</v>
      </c>
      <c r="L126" s="20">
        <f t="shared" si="29"/>
        <v>840</v>
      </c>
      <c r="M126" s="20">
        <v>399</v>
      </c>
      <c r="N126" s="20"/>
      <c r="O126" s="20"/>
      <c r="P126" s="20">
        <v>441</v>
      </c>
      <c r="Q126" s="12"/>
      <c r="R126" s="12"/>
      <c r="S126" s="12"/>
      <c r="T126" s="12"/>
      <c r="U126" s="12"/>
      <c r="V126" s="12"/>
      <c r="W126" s="12">
        <v>840</v>
      </c>
      <c r="X126" s="149" t="s">
        <v>623</v>
      </c>
      <c r="Y126" s="149"/>
      <c r="Z126" s="12" t="s">
        <v>80</v>
      </c>
      <c r="AA126" s="12" t="s">
        <v>81</v>
      </c>
      <c r="AB126" s="12"/>
    </row>
    <row r="127" s="145" customFormat="1" ht="105" customHeight="1" spans="1:31">
      <c r="A127" s="12">
        <v>113</v>
      </c>
      <c r="B127" s="12" t="s">
        <v>624</v>
      </c>
      <c r="C127" s="12" t="s">
        <v>625</v>
      </c>
      <c r="D127" s="12" t="s">
        <v>35</v>
      </c>
      <c r="E127" s="12" t="s">
        <v>39</v>
      </c>
      <c r="F127" s="12" t="s">
        <v>40</v>
      </c>
      <c r="G127" s="12" t="s">
        <v>232</v>
      </c>
      <c r="H127" s="149" t="s">
        <v>626</v>
      </c>
      <c r="I127" s="12" t="s">
        <v>561</v>
      </c>
      <c r="J127" s="12">
        <v>10</v>
      </c>
      <c r="K127" s="20">
        <f t="shared" si="28"/>
        <v>750</v>
      </c>
      <c r="L127" s="20">
        <f t="shared" si="29"/>
        <v>750</v>
      </c>
      <c r="M127" s="20">
        <v>750</v>
      </c>
      <c r="N127" s="20"/>
      <c r="O127" s="20"/>
      <c r="P127" s="20"/>
      <c r="Q127" s="12"/>
      <c r="R127" s="12"/>
      <c r="S127" s="12"/>
      <c r="T127" s="12"/>
      <c r="U127" s="12"/>
      <c r="V127" s="12"/>
      <c r="W127" s="12">
        <v>750</v>
      </c>
      <c r="X127" s="149" t="s">
        <v>627</v>
      </c>
      <c r="Y127" s="149"/>
      <c r="Z127" s="12" t="s">
        <v>80</v>
      </c>
      <c r="AA127" s="12" t="s">
        <v>81</v>
      </c>
      <c r="AB127" s="12"/>
      <c r="AC127" s="145"/>
      <c r="AD127" s="145"/>
      <c r="AE127" s="145" t="s">
        <v>63</v>
      </c>
    </row>
    <row r="128" s="144" customFormat="1" ht="43" customHeight="1" spans="1:31">
      <c r="A128" s="11" t="s">
        <v>628</v>
      </c>
      <c r="B128" s="11" t="s">
        <v>629</v>
      </c>
      <c r="C128" s="11"/>
      <c r="D128" s="106"/>
      <c r="E128" s="11"/>
      <c r="F128" s="11"/>
      <c r="G128" s="11"/>
      <c r="H128" s="11">
        <v>7</v>
      </c>
      <c r="I128" s="117"/>
      <c r="J128" s="117">
        <f>K128/K7</f>
        <v>0.0396822339135501</v>
      </c>
      <c r="K128" s="18">
        <f t="shared" ref="K128:V128" si="30">SUM(K129:K135)</f>
        <v>5476.42</v>
      </c>
      <c r="L128" s="18">
        <f t="shared" si="30"/>
        <v>5359.3</v>
      </c>
      <c r="M128" s="18">
        <f t="shared" si="30"/>
        <v>450</v>
      </c>
      <c r="N128" s="18">
        <f t="shared" si="30"/>
        <v>4909.3</v>
      </c>
      <c r="O128" s="18">
        <f t="shared" si="30"/>
        <v>0</v>
      </c>
      <c r="P128" s="18">
        <f t="shared" si="30"/>
        <v>0</v>
      </c>
      <c r="Q128" s="18">
        <f t="shared" si="30"/>
        <v>0</v>
      </c>
      <c r="R128" s="18">
        <f t="shared" si="30"/>
        <v>0</v>
      </c>
      <c r="S128" s="18">
        <f t="shared" si="30"/>
        <v>0</v>
      </c>
      <c r="T128" s="18">
        <f t="shared" si="30"/>
        <v>0</v>
      </c>
      <c r="U128" s="18">
        <f t="shared" si="30"/>
        <v>117.12</v>
      </c>
      <c r="V128" s="18">
        <f t="shared" si="30"/>
        <v>0</v>
      </c>
      <c r="W128" s="11"/>
      <c r="X128" s="150"/>
      <c r="Y128" s="150"/>
      <c r="Z128" s="18"/>
      <c r="AA128" s="18"/>
      <c r="AB128" s="18"/>
      <c r="AC128" s="144"/>
      <c r="AD128" s="144"/>
      <c r="AE128" s="145"/>
    </row>
    <row r="129" s="147" customFormat="1" ht="127" customHeight="1" spans="1:31">
      <c r="A129" s="12">
        <v>114</v>
      </c>
      <c r="B129" s="12" t="s">
        <v>630</v>
      </c>
      <c r="C129" s="12" t="s">
        <v>631</v>
      </c>
      <c r="D129" s="12" t="s">
        <v>632</v>
      </c>
      <c r="E129" s="12" t="s">
        <v>633</v>
      </c>
      <c r="F129" s="19" t="s">
        <v>40</v>
      </c>
      <c r="G129" s="12" t="s">
        <v>185</v>
      </c>
      <c r="H129" s="149" t="s">
        <v>634</v>
      </c>
      <c r="I129" s="19" t="s">
        <v>421</v>
      </c>
      <c r="J129" s="19">
        <v>1579</v>
      </c>
      <c r="K129" s="20">
        <f t="shared" ref="K129:K135" si="31">SUM(L129,T129:V129)</f>
        <v>1894.8</v>
      </c>
      <c r="L129" s="20">
        <f t="shared" ref="L129:L135" si="32">SUM(M129:S129)</f>
        <v>1894.8</v>
      </c>
      <c r="M129" s="20"/>
      <c r="N129" s="151">
        <v>1894.8</v>
      </c>
      <c r="O129" s="151"/>
      <c r="P129" s="151"/>
      <c r="Q129" s="19"/>
      <c r="R129" s="19"/>
      <c r="S129" s="19"/>
      <c r="T129" s="19"/>
      <c r="U129" s="19"/>
      <c r="V129" s="19"/>
      <c r="W129" s="19">
        <v>1579</v>
      </c>
      <c r="X129" s="15" t="s">
        <v>635</v>
      </c>
      <c r="Y129" s="15"/>
      <c r="Z129" s="19" t="s">
        <v>636</v>
      </c>
      <c r="AA129" s="19" t="s">
        <v>637</v>
      </c>
      <c r="AB129" s="12"/>
      <c r="AC129" s="147"/>
      <c r="AD129" s="147"/>
      <c r="AE129" s="145"/>
    </row>
    <row r="130" s="147" customFormat="1" ht="100" customHeight="1" spans="1:31">
      <c r="A130" s="12">
        <v>115</v>
      </c>
      <c r="B130" s="12" t="s">
        <v>638</v>
      </c>
      <c r="C130" s="12" t="s">
        <v>639</v>
      </c>
      <c r="D130" s="12" t="s">
        <v>632</v>
      </c>
      <c r="E130" s="12" t="s">
        <v>640</v>
      </c>
      <c r="F130" s="19" t="s">
        <v>40</v>
      </c>
      <c r="G130" s="12" t="s">
        <v>185</v>
      </c>
      <c r="H130" s="149" t="s">
        <v>641</v>
      </c>
      <c r="I130" s="12" t="s">
        <v>642</v>
      </c>
      <c r="J130" s="19">
        <v>1216</v>
      </c>
      <c r="K130" s="20">
        <f t="shared" si="31"/>
        <v>1276.8</v>
      </c>
      <c r="L130" s="20">
        <f t="shared" si="32"/>
        <v>1276.8</v>
      </c>
      <c r="M130" s="20"/>
      <c r="N130" s="151">
        <v>1276.8</v>
      </c>
      <c r="O130" s="151"/>
      <c r="P130" s="151"/>
      <c r="Q130" s="19"/>
      <c r="R130" s="19"/>
      <c r="S130" s="19"/>
      <c r="T130" s="19"/>
      <c r="U130" s="19"/>
      <c r="V130" s="19"/>
      <c r="W130" s="19">
        <v>1216</v>
      </c>
      <c r="X130" s="15" t="s">
        <v>643</v>
      </c>
      <c r="Y130" s="15"/>
      <c r="Z130" s="19" t="s">
        <v>644</v>
      </c>
      <c r="AA130" s="12" t="s">
        <v>645</v>
      </c>
      <c r="AB130" s="12"/>
      <c r="AC130" s="147"/>
      <c r="AD130" s="147"/>
      <c r="AE130" s="145"/>
    </row>
    <row r="131" s="145" customFormat="1" ht="161" customHeight="1" spans="1:31">
      <c r="A131" s="12">
        <v>116</v>
      </c>
      <c r="B131" s="12" t="s">
        <v>646</v>
      </c>
      <c r="C131" s="12" t="s">
        <v>647</v>
      </c>
      <c r="D131" s="12" t="s">
        <v>632</v>
      </c>
      <c r="E131" s="12" t="s">
        <v>648</v>
      </c>
      <c r="F131" s="12" t="s">
        <v>40</v>
      </c>
      <c r="G131" s="12" t="s">
        <v>185</v>
      </c>
      <c r="H131" s="149" t="s">
        <v>649</v>
      </c>
      <c r="I131" s="12" t="s">
        <v>642</v>
      </c>
      <c r="J131" s="12">
        <v>2250</v>
      </c>
      <c r="K131" s="20">
        <f t="shared" si="31"/>
        <v>450</v>
      </c>
      <c r="L131" s="20">
        <f t="shared" si="32"/>
        <v>450</v>
      </c>
      <c r="M131" s="20">
        <v>450</v>
      </c>
      <c r="N131" s="20"/>
      <c r="O131" s="20"/>
      <c r="P131" s="20"/>
      <c r="Q131" s="12"/>
      <c r="R131" s="12"/>
      <c r="S131" s="12"/>
      <c r="T131" s="12"/>
      <c r="U131" s="12"/>
      <c r="V131" s="12"/>
      <c r="W131" s="12">
        <v>2187</v>
      </c>
      <c r="X131" s="15" t="s">
        <v>650</v>
      </c>
      <c r="Y131" s="149"/>
      <c r="Z131" s="12" t="s">
        <v>644</v>
      </c>
      <c r="AA131" s="12" t="s">
        <v>645</v>
      </c>
      <c r="AB131" s="12"/>
      <c r="AC131" s="145"/>
      <c r="AD131" s="145"/>
      <c r="AE131" s="145" t="s">
        <v>63</v>
      </c>
    </row>
    <row r="132" s="145" customFormat="1" ht="161" customHeight="1" spans="1:28">
      <c r="A132" s="12">
        <v>117</v>
      </c>
      <c r="B132" s="12" t="s">
        <v>651</v>
      </c>
      <c r="C132" s="12" t="s">
        <v>652</v>
      </c>
      <c r="D132" s="12" t="s">
        <v>632</v>
      </c>
      <c r="E132" s="12" t="s">
        <v>648</v>
      </c>
      <c r="F132" s="12" t="s">
        <v>40</v>
      </c>
      <c r="G132" s="12" t="s">
        <v>185</v>
      </c>
      <c r="H132" s="149" t="s">
        <v>653</v>
      </c>
      <c r="I132" s="12" t="s">
        <v>642</v>
      </c>
      <c r="J132" s="12">
        <v>15033</v>
      </c>
      <c r="K132" s="20">
        <f t="shared" si="31"/>
        <v>1503.3</v>
      </c>
      <c r="L132" s="20">
        <f t="shared" si="32"/>
        <v>1503.3</v>
      </c>
      <c r="M132" s="20"/>
      <c r="N132" s="20">
        <v>1503.3</v>
      </c>
      <c r="O132" s="20"/>
      <c r="P132" s="20"/>
      <c r="Q132" s="12"/>
      <c r="R132" s="12"/>
      <c r="S132" s="12"/>
      <c r="T132" s="12"/>
      <c r="U132" s="12"/>
      <c r="V132" s="12"/>
      <c r="W132" s="12">
        <v>14276</v>
      </c>
      <c r="X132" s="15" t="s">
        <v>654</v>
      </c>
      <c r="Y132" s="149"/>
      <c r="Z132" s="12" t="s">
        <v>644</v>
      </c>
      <c r="AA132" s="12" t="s">
        <v>645</v>
      </c>
      <c r="AB132" s="12"/>
    </row>
    <row r="133" s="145" customFormat="1" ht="161" customHeight="1" spans="1:28">
      <c r="A133" s="12">
        <v>118</v>
      </c>
      <c r="B133" s="12" t="s">
        <v>655</v>
      </c>
      <c r="C133" s="12" t="s">
        <v>656</v>
      </c>
      <c r="D133" s="12" t="s">
        <v>632</v>
      </c>
      <c r="E133" s="12" t="s">
        <v>648</v>
      </c>
      <c r="F133" s="12" t="s">
        <v>40</v>
      </c>
      <c r="G133" s="12" t="s">
        <v>185</v>
      </c>
      <c r="H133" s="149" t="s">
        <v>657</v>
      </c>
      <c r="I133" s="12" t="s">
        <v>642</v>
      </c>
      <c r="J133" s="12">
        <v>5856</v>
      </c>
      <c r="K133" s="20">
        <f t="shared" si="31"/>
        <v>117.12</v>
      </c>
      <c r="L133" s="20">
        <f t="shared" si="32"/>
        <v>0</v>
      </c>
      <c r="M133" s="20"/>
      <c r="N133" s="20"/>
      <c r="O133" s="20"/>
      <c r="P133" s="20"/>
      <c r="Q133" s="12"/>
      <c r="R133" s="12"/>
      <c r="S133" s="12"/>
      <c r="T133" s="12"/>
      <c r="U133" s="20">
        <v>117.12</v>
      </c>
      <c r="V133" s="12"/>
      <c r="W133" s="12">
        <v>5856</v>
      </c>
      <c r="X133" s="15" t="s">
        <v>658</v>
      </c>
      <c r="Y133" s="149"/>
      <c r="Z133" s="12" t="s">
        <v>644</v>
      </c>
      <c r="AA133" s="12" t="s">
        <v>645</v>
      </c>
      <c r="AB133" s="12"/>
    </row>
    <row r="134" s="145" customFormat="1" ht="161" customHeight="1" spans="1:31">
      <c r="A134" s="12">
        <v>119</v>
      </c>
      <c r="B134" s="12" t="s">
        <v>659</v>
      </c>
      <c r="C134" s="12" t="s">
        <v>660</v>
      </c>
      <c r="D134" s="12" t="s">
        <v>632</v>
      </c>
      <c r="E134" s="12" t="s">
        <v>661</v>
      </c>
      <c r="F134" s="12" t="s">
        <v>40</v>
      </c>
      <c r="G134" s="12" t="s">
        <v>185</v>
      </c>
      <c r="H134" s="149" t="s">
        <v>662</v>
      </c>
      <c r="I134" s="12" t="s">
        <v>187</v>
      </c>
      <c r="J134" s="12">
        <v>901</v>
      </c>
      <c r="K134" s="20">
        <f t="shared" si="31"/>
        <v>180.2</v>
      </c>
      <c r="L134" s="20">
        <f t="shared" si="32"/>
        <v>180.2</v>
      </c>
      <c r="M134" s="20"/>
      <c r="N134" s="20">
        <v>180.2</v>
      </c>
      <c r="O134" s="20"/>
      <c r="P134" s="20"/>
      <c r="Q134" s="12"/>
      <c r="R134" s="12"/>
      <c r="S134" s="12"/>
      <c r="T134" s="12"/>
      <c r="U134" s="12"/>
      <c r="V134" s="12"/>
      <c r="W134" s="12">
        <v>3604</v>
      </c>
      <c r="X134" s="15" t="s">
        <v>663</v>
      </c>
      <c r="Y134" s="149"/>
      <c r="Z134" s="12" t="s">
        <v>644</v>
      </c>
      <c r="AA134" s="12" t="s">
        <v>645</v>
      </c>
      <c r="AB134" s="12"/>
      <c r="AC134" s="145"/>
      <c r="AD134" s="145"/>
      <c r="AE134" s="145" t="s">
        <v>63</v>
      </c>
    </row>
    <row r="135" s="145" customFormat="1" ht="161" customHeight="1" spans="1:31">
      <c r="A135" s="12">
        <v>120</v>
      </c>
      <c r="B135" s="12" t="s">
        <v>664</v>
      </c>
      <c r="C135" s="12" t="s">
        <v>665</v>
      </c>
      <c r="D135" s="12" t="s">
        <v>632</v>
      </c>
      <c r="E135" s="12" t="s">
        <v>661</v>
      </c>
      <c r="F135" s="12" t="s">
        <v>40</v>
      </c>
      <c r="G135" s="12" t="s">
        <v>185</v>
      </c>
      <c r="H135" s="149" t="s">
        <v>666</v>
      </c>
      <c r="I135" s="12" t="s">
        <v>187</v>
      </c>
      <c r="J135" s="12">
        <v>542</v>
      </c>
      <c r="K135" s="20">
        <f t="shared" si="31"/>
        <v>54.2</v>
      </c>
      <c r="L135" s="20">
        <f t="shared" si="32"/>
        <v>54.2</v>
      </c>
      <c r="M135" s="20"/>
      <c r="N135" s="20">
        <v>54.2</v>
      </c>
      <c r="O135" s="20"/>
      <c r="P135" s="20"/>
      <c r="Q135" s="12"/>
      <c r="R135" s="12"/>
      <c r="S135" s="12"/>
      <c r="T135" s="12"/>
      <c r="U135" s="12"/>
      <c r="V135" s="12"/>
      <c r="W135" s="12">
        <v>2168</v>
      </c>
      <c r="X135" s="15" t="s">
        <v>667</v>
      </c>
      <c r="Y135" s="149"/>
      <c r="Z135" s="12" t="s">
        <v>644</v>
      </c>
      <c r="AA135" s="12" t="s">
        <v>645</v>
      </c>
      <c r="AB135" s="12"/>
      <c r="AC135" s="145"/>
      <c r="AD135" s="145"/>
      <c r="AE135" s="145" t="s">
        <v>63</v>
      </c>
    </row>
    <row r="136" s="144" customFormat="1" ht="43" customHeight="1" spans="1:31">
      <c r="A136" s="11" t="s">
        <v>668</v>
      </c>
      <c r="B136" s="11" t="s">
        <v>669</v>
      </c>
      <c r="C136" s="11"/>
      <c r="D136" s="106"/>
      <c r="E136" s="11"/>
      <c r="F136" s="11"/>
      <c r="G136" s="11"/>
      <c r="H136" s="11">
        <f t="shared" ref="H136:V136" si="33">SUM(H137,H148,H151)</f>
        <v>28</v>
      </c>
      <c r="I136" s="117"/>
      <c r="J136" s="117">
        <f>K136/K7</f>
        <v>0.0889202980260572</v>
      </c>
      <c r="K136" s="18">
        <f t="shared" si="33"/>
        <v>12271.61</v>
      </c>
      <c r="L136" s="18">
        <f t="shared" si="33"/>
        <v>12271.61</v>
      </c>
      <c r="M136" s="18">
        <f t="shared" si="33"/>
        <v>1482</v>
      </c>
      <c r="N136" s="18">
        <f t="shared" si="33"/>
        <v>4463.61</v>
      </c>
      <c r="O136" s="18">
        <f t="shared" si="33"/>
        <v>5464</v>
      </c>
      <c r="P136" s="18">
        <f t="shared" si="33"/>
        <v>862</v>
      </c>
      <c r="Q136" s="18">
        <f t="shared" si="33"/>
        <v>0</v>
      </c>
      <c r="R136" s="18">
        <f t="shared" si="33"/>
        <v>0</v>
      </c>
      <c r="S136" s="18">
        <f t="shared" si="33"/>
        <v>0</v>
      </c>
      <c r="T136" s="18">
        <f t="shared" si="33"/>
        <v>0</v>
      </c>
      <c r="U136" s="18">
        <f t="shared" si="33"/>
        <v>0</v>
      </c>
      <c r="V136" s="18">
        <f t="shared" si="33"/>
        <v>0</v>
      </c>
      <c r="W136" s="11"/>
      <c r="X136" s="150"/>
      <c r="Y136" s="150"/>
      <c r="Z136" s="18"/>
      <c r="AA136" s="18"/>
      <c r="AB136" s="18"/>
      <c r="AC136" s="144"/>
      <c r="AD136" s="144"/>
      <c r="AE136" s="145"/>
    </row>
    <row r="137" s="144" customFormat="1" ht="43" customHeight="1" spans="1:31">
      <c r="A137" s="150" t="s">
        <v>670</v>
      </c>
      <c r="B137" s="150"/>
      <c r="C137" s="150"/>
      <c r="D137" s="106"/>
      <c r="E137" s="11"/>
      <c r="F137" s="11"/>
      <c r="G137" s="11"/>
      <c r="H137" s="11">
        <v>10</v>
      </c>
      <c r="I137" s="117"/>
      <c r="J137" s="117"/>
      <c r="K137" s="18">
        <f t="shared" ref="K137:V137" si="34">SUM(K138:K147)</f>
        <v>4824</v>
      </c>
      <c r="L137" s="18">
        <f t="shared" si="34"/>
        <v>4824</v>
      </c>
      <c r="M137" s="18">
        <f t="shared" si="34"/>
        <v>1482</v>
      </c>
      <c r="N137" s="18">
        <f t="shared" si="34"/>
        <v>2480</v>
      </c>
      <c r="O137" s="18">
        <f t="shared" si="34"/>
        <v>0</v>
      </c>
      <c r="P137" s="18">
        <f t="shared" si="34"/>
        <v>862</v>
      </c>
      <c r="Q137" s="18">
        <f t="shared" si="34"/>
        <v>0</v>
      </c>
      <c r="R137" s="18">
        <f t="shared" si="34"/>
        <v>0</v>
      </c>
      <c r="S137" s="18">
        <f t="shared" si="34"/>
        <v>0</v>
      </c>
      <c r="T137" s="18">
        <f t="shared" si="34"/>
        <v>0</v>
      </c>
      <c r="U137" s="18">
        <f t="shared" si="34"/>
        <v>0</v>
      </c>
      <c r="V137" s="18">
        <f t="shared" si="34"/>
        <v>0</v>
      </c>
      <c r="W137" s="11"/>
      <c r="X137" s="150"/>
      <c r="Y137" s="150"/>
      <c r="Z137" s="123"/>
      <c r="AA137" s="123"/>
      <c r="AB137" s="123"/>
      <c r="AC137" s="144"/>
      <c r="AD137" s="144"/>
      <c r="AE137" s="145"/>
    </row>
    <row r="138" s="145" customFormat="1" ht="108" customHeight="1" spans="1:31">
      <c r="A138" s="12">
        <v>121</v>
      </c>
      <c r="B138" s="12" t="s">
        <v>671</v>
      </c>
      <c r="C138" s="168" t="s">
        <v>672</v>
      </c>
      <c r="D138" s="12" t="s">
        <v>669</v>
      </c>
      <c r="E138" s="12" t="s">
        <v>673</v>
      </c>
      <c r="F138" s="12" t="s">
        <v>40</v>
      </c>
      <c r="G138" s="12" t="s">
        <v>674</v>
      </c>
      <c r="H138" s="15" t="s">
        <v>675</v>
      </c>
      <c r="I138" s="12" t="s">
        <v>393</v>
      </c>
      <c r="J138" s="12">
        <v>19700</v>
      </c>
      <c r="K138" s="20">
        <f>SUM(L138,T138:V138)</f>
        <v>342</v>
      </c>
      <c r="L138" s="20">
        <f t="shared" ref="L138:L145" si="35">SUM(M138:S138)</f>
        <v>342</v>
      </c>
      <c r="M138" s="20">
        <v>342</v>
      </c>
      <c r="N138" s="20"/>
      <c r="O138" s="20"/>
      <c r="P138" s="20"/>
      <c r="Q138" s="12"/>
      <c r="R138" s="12"/>
      <c r="S138" s="12"/>
      <c r="T138" s="12"/>
      <c r="U138" s="12"/>
      <c r="V138" s="12"/>
      <c r="W138" s="12">
        <v>1000</v>
      </c>
      <c r="X138" s="149" t="s">
        <v>676</v>
      </c>
      <c r="Y138" s="149"/>
      <c r="Z138" s="12" t="s">
        <v>636</v>
      </c>
      <c r="AA138" s="12" t="s">
        <v>637</v>
      </c>
      <c r="AB138" s="12"/>
      <c r="AC138" s="145"/>
      <c r="AD138" s="145"/>
      <c r="AE138" s="145" t="s">
        <v>63</v>
      </c>
    </row>
    <row r="139" s="145" customFormat="1" ht="77" customHeight="1" spans="1:28">
      <c r="A139" s="12">
        <v>122</v>
      </c>
      <c r="B139" s="12" t="s">
        <v>677</v>
      </c>
      <c r="C139" s="12" t="s">
        <v>678</v>
      </c>
      <c r="D139" s="12" t="s">
        <v>669</v>
      </c>
      <c r="E139" s="12" t="s">
        <v>673</v>
      </c>
      <c r="F139" s="12" t="s">
        <v>40</v>
      </c>
      <c r="G139" s="12" t="s">
        <v>679</v>
      </c>
      <c r="H139" s="15" t="s">
        <v>680</v>
      </c>
      <c r="I139" s="12" t="s">
        <v>561</v>
      </c>
      <c r="J139" s="12">
        <v>5.5</v>
      </c>
      <c r="K139" s="20">
        <f t="shared" ref="K139:K146" si="36">SUM(L139,T139:V139)</f>
        <v>395</v>
      </c>
      <c r="L139" s="20">
        <f t="shared" si="35"/>
        <v>395</v>
      </c>
      <c r="M139" s="20"/>
      <c r="N139" s="20"/>
      <c r="O139" s="20"/>
      <c r="P139" s="20">
        <v>395</v>
      </c>
      <c r="Q139" s="12"/>
      <c r="R139" s="12"/>
      <c r="S139" s="12"/>
      <c r="T139" s="12"/>
      <c r="U139" s="12"/>
      <c r="V139" s="12"/>
      <c r="W139" s="12">
        <v>2000</v>
      </c>
      <c r="X139" s="149" t="s">
        <v>681</v>
      </c>
      <c r="Y139" s="149"/>
      <c r="Z139" s="12" t="s">
        <v>636</v>
      </c>
      <c r="AA139" s="12" t="s">
        <v>637</v>
      </c>
      <c r="AB139" s="12"/>
    </row>
    <row r="140" s="145" customFormat="1" ht="77" customHeight="1" spans="1:31">
      <c r="A140" s="12">
        <v>123</v>
      </c>
      <c r="B140" s="12" t="s">
        <v>682</v>
      </c>
      <c r="C140" s="12" t="s">
        <v>683</v>
      </c>
      <c r="D140" s="12" t="s">
        <v>669</v>
      </c>
      <c r="E140" s="12" t="s">
        <v>673</v>
      </c>
      <c r="F140" s="12" t="s">
        <v>40</v>
      </c>
      <c r="G140" s="12" t="s">
        <v>684</v>
      </c>
      <c r="H140" s="15" t="s">
        <v>685</v>
      </c>
      <c r="I140" s="12" t="s">
        <v>561</v>
      </c>
      <c r="J140" s="12">
        <v>5.3</v>
      </c>
      <c r="K140" s="20">
        <f t="shared" si="36"/>
        <v>360</v>
      </c>
      <c r="L140" s="20">
        <f t="shared" si="35"/>
        <v>360</v>
      </c>
      <c r="M140" s="20">
        <v>360</v>
      </c>
      <c r="N140" s="20"/>
      <c r="O140" s="20"/>
      <c r="P140" s="20"/>
      <c r="Q140" s="12"/>
      <c r="R140" s="12"/>
      <c r="S140" s="12"/>
      <c r="T140" s="12"/>
      <c r="U140" s="12"/>
      <c r="V140" s="12"/>
      <c r="W140" s="12">
        <v>5000</v>
      </c>
      <c r="X140" s="149" t="s">
        <v>686</v>
      </c>
      <c r="Y140" s="149"/>
      <c r="Z140" s="149" t="s">
        <v>636</v>
      </c>
      <c r="AA140" s="149" t="s">
        <v>637</v>
      </c>
      <c r="AB140" s="12"/>
      <c r="AC140" s="145"/>
      <c r="AD140" s="145"/>
      <c r="AE140" s="145" t="s">
        <v>63</v>
      </c>
    </row>
    <row r="141" s="145" customFormat="1" ht="94" customHeight="1" spans="1:31">
      <c r="A141" s="12">
        <v>124</v>
      </c>
      <c r="B141" s="12" t="s">
        <v>687</v>
      </c>
      <c r="C141" s="12" t="s">
        <v>688</v>
      </c>
      <c r="D141" s="12" t="s">
        <v>669</v>
      </c>
      <c r="E141" s="12" t="s">
        <v>673</v>
      </c>
      <c r="F141" s="12" t="s">
        <v>40</v>
      </c>
      <c r="G141" s="12" t="s">
        <v>192</v>
      </c>
      <c r="H141" s="15" t="s">
        <v>689</v>
      </c>
      <c r="I141" s="12" t="s">
        <v>164</v>
      </c>
      <c r="J141" s="12">
        <v>3</v>
      </c>
      <c r="K141" s="20">
        <f t="shared" si="36"/>
        <v>80</v>
      </c>
      <c r="L141" s="20">
        <f t="shared" si="35"/>
        <v>80</v>
      </c>
      <c r="M141" s="20"/>
      <c r="N141" s="20"/>
      <c r="O141" s="20"/>
      <c r="P141" s="20">
        <v>80</v>
      </c>
      <c r="Q141" s="12"/>
      <c r="R141" s="12"/>
      <c r="S141" s="12"/>
      <c r="T141" s="12"/>
      <c r="U141" s="12"/>
      <c r="V141" s="12"/>
      <c r="W141" s="12">
        <v>300</v>
      </c>
      <c r="X141" s="149" t="s">
        <v>690</v>
      </c>
      <c r="Y141" s="149"/>
      <c r="Z141" s="12" t="s">
        <v>636</v>
      </c>
      <c r="AA141" s="12" t="s">
        <v>637</v>
      </c>
      <c r="AB141" s="12"/>
      <c r="AC141" s="145"/>
      <c r="AD141" s="145"/>
      <c r="AE141" s="145" t="s">
        <v>63</v>
      </c>
    </row>
    <row r="142" s="145" customFormat="1" ht="94" customHeight="1" spans="1:28">
      <c r="A142" s="12">
        <v>125</v>
      </c>
      <c r="B142" s="12" t="s">
        <v>691</v>
      </c>
      <c r="C142" s="12" t="s">
        <v>692</v>
      </c>
      <c r="D142" s="12" t="s">
        <v>669</v>
      </c>
      <c r="E142" s="12" t="s">
        <v>673</v>
      </c>
      <c r="F142" s="12" t="s">
        <v>40</v>
      </c>
      <c r="G142" s="12" t="s">
        <v>693</v>
      </c>
      <c r="H142" s="15" t="s">
        <v>694</v>
      </c>
      <c r="I142" s="12" t="s">
        <v>164</v>
      </c>
      <c r="J142" s="12">
        <v>2</v>
      </c>
      <c r="K142" s="20">
        <f t="shared" si="36"/>
        <v>387</v>
      </c>
      <c r="L142" s="20">
        <f t="shared" si="35"/>
        <v>387</v>
      </c>
      <c r="M142" s="20"/>
      <c r="N142" s="20"/>
      <c r="O142" s="20"/>
      <c r="P142" s="20">
        <v>387</v>
      </c>
      <c r="Q142" s="12"/>
      <c r="R142" s="12"/>
      <c r="S142" s="12"/>
      <c r="T142" s="12"/>
      <c r="U142" s="12"/>
      <c r="V142" s="12"/>
      <c r="W142" s="12">
        <v>1500</v>
      </c>
      <c r="X142" s="149" t="s">
        <v>690</v>
      </c>
      <c r="Y142" s="149"/>
      <c r="Z142" s="12" t="s">
        <v>80</v>
      </c>
      <c r="AA142" s="12" t="s">
        <v>81</v>
      </c>
      <c r="AB142" s="12"/>
    </row>
    <row r="143" s="145" customFormat="1" ht="125" customHeight="1" spans="1:28">
      <c r="A143" s="12">
        <v>126</v>
      </c>
      <c r="B143" s="12" t="s">
        <v>695</v>
      </c>
      <c r="C143" s="12" t="s">
        <v>696</v>
      </c>
      <c r="D143" s="12" t="s">
        <v>669</v>
      </c>
      <c r="E143" s="12" t="s">
        <v>697</v>
      </c>
      <c r="F143" s="12" t="s">
        <v>40</v>
      </c>
      <c r="G143" s="12" t="s">
        <v>414</v>
      </c>
      <c r="H143" s="149" t="s">
        <v>698</v>
      </c>
      <c r="I143" s="12" t="s">
        <v>561</v>
      </c>
      <c r="J143" s="12">
        <v>8</v>
      </c>
      <c r="K143" s="20">
        <f t="shared" si="36"/>
        <v>560</v>
      </c>
      <c r="L143" s="20">
        <f t="shared" si="35"/>
        <v>560</v>
      </c>
      <c r="M143" s="20"/>
      <c r="N143" s="20">
        <v>560</v>
      </c>
      <c r="O143" s="20"/>
      <c r="P143" s="20"/>
      <c r="Q143" s="12"/>
      <c r="R143" s="12"/>
      <c r="S143" s="12"/>
      <c r="T143" s="12"/>
      <c r="U143" s="12"/>
      <c r="V143" s="12"/>
      <c r="W143" s="12">
        <v>1500</v>
      </c>
      <c r="X143" s="149" t="s">
        <v>699</v>
      </c>
      <c r="Y143" s="149"/>
      <c r="Z143" s="12" t="s">
        <v>700</v>
      </c>
      <c r="AA143" s="156" t="s">
        <v>701</v>
      </c>
      <c r="AB143" s="12"/>
    </row>
    <row r="144" s="145" customFormat="1" ht="125" customHeight="1" spans="1:28">
      <c r="A144" s="12">
        <v>127</v>
      </c>
      <c r="B144" s="12" t="s">
        <v>702</v>
      </c>
      <c r="C144" s="12" t="s">
        <v>703</v>
      </c>
      <c r="D144" s="12" t="s">
        <v>669</v>
      </c>
      <c r="E144" s="12" t="s">
        <v>697</v>
      </c>
      <c r="F144" s="12" t="s">
        <v>40</v>
      </c>
      <c r="G144" s="12" t="s">
        <v>442</v>
      </c>
      <c r="H144" s="149" t="s">
        <v>704</v>
      </c>
      <c r="I144" s="12" t="s">
        <v>561</v>
      </c>
      <c r="J144" s="12">
        <v>11.6</v>
      </c>
      <c r="K144" s="20">
        <f t="shared" si="36"/>
        <v>1720</v>
      </c>
      <c r="L144" s="20">
        <f t="shared" si="35"/>
        <v>1720</v>
      </c>
      <c r="M144" s="20"/>
      <c r="N144" s="20">
        <v>1720</v>
      </c>
      <c r="O144" s="20"/>
      <c r="P144" s="20"/>
      <c r="Q144" s="12"/>
      <c r="R144" s="12"/>
      <c r="S144" s="12"/>
      <c r="T144" s="12"/>
      <c r="U144" s="12"/>
      <c r="V144" s="12"/>
      <c r="W144" s="12">
        <v>2000</v>
      </c>
      <c r="X144" s="149" t="s">
        <v>699</v>
      </c>
      <c r="Y144" s="149"/>
      <c r="Z144" s="12" t="s">
        <v>700</v>
      </c>
      <c r="AA144" s="156" t="s">
        <v>701</v>
      </c>
      <c r="AB144" s="12"/>
    </row>
    <row r="145" s="145" customFormat="1" ht="125" customHeight="1" spans="1:31">
      <c r="A145" s="12">
        <v>128</v>
      </c>
      <c r="B145" s="12" t="s">
        <v>705</v>
      </c>
      <c r="C145" s="12" t="s">
        <v>706</v>
      </c>
      <c r="D145" s="12" t="s">
        <v>669</v>
      </c>
      <c r="E145" s="12" t="s">
        <v>697</v>
      </c>
      <c r="F145" s="12" t="s">
        <v>40</v>
      </c>
      <c r="G145" s="12" t="s">
        <v>707</v>
      </c>
      <c r="H145" s="15" t="s">
        <v>708</v>
      </c>
      <c r="I145" s="12" t="s">
        <v>561</v>
      </c>
      <c r="J145" s="12">
        <v>8</v>
      </c>
      <c r="K145" s="20">
        <f t="shared" si="36"/>
        <v>390</v>
      </c>
      <c r="L145" s="20">
        <f t="shared" si="35"/>
        <v>390</v>
      </c>
      <c r="M145" s="20">
        <v>390</v>
      </c>
      <c r="N145" s="20"/>
      <c r="O145" s="20"/>
      <c r="P145" s="20"/>
      <c r="Q145" s="12"/>
      <c r="R145" s="12"/>
      <c r="S145" s="12"/>
      <c r="T145" s="12"/>
      <c r="U145" s="12"/>
      <c r="V145" s="12"/>
      <c r="W145" s="12">
        <v>750</v>
      </c>
      <c r="X145" s="149"/>
      <c r="Y145" s="149"/>
      <c r="Z145" s="12" t="s">
        <v>396</v>
      </c>
      <c r="AA145" s="12" t="s">
        <v>397</v>
      </c>
      <c r="AB145" s="12"/>
      <c r="AC145" s="145"/>
      <c r="AD145" s="145"/>
      <c r="AE145" s="145" t="s">
        <v>63</v>
      </c>
    </row>
    <row r="146" s="145" customFormat="1" ht="94" customHeight="1" spans="1:28">
      <c r="A146" s="12">
        <v>129</v>
      </c>
      <c r="B146" s="12" t="s">
        <v>709</v>
      </c>
      <c r="C146" s="12" t="s">
        <v>710</v>
      </c>
      <c r="D146" s="12" t="s">
        <v>669</v>
      </c>
      <c r="E146" s="12" t="s">
        <v>697</v>
      </c>
      <c r="F146" s="12" t="s">
        <v>40</v>
      </c>
      <c r="G146" s="12" t="s">
        <v>707</v>
      </c>
      <c r="H146" s="15" t="s">
        <v>711</v>
      </c>
      <c r="I146" s="12" t="s">
        <v>712</v>
      </c>
      <c r="J146" s="12">
        <v>500</v>
      </c>
      <c r="K146" s="20">
        <f t="shared" si="36"/>
        <v>390</v>
      </c>
      <c r="L146" s="20">
        <f t="shared" ref="L146:L169" si="37">SUM(M146:S146)</f>
        <v>390</v>
      </c>
      <c r="M146" s="20">
        <v>390</v>
      </c>
      <c r="N146" s="20"/>
      <c r="O146" s="20"/>
      <c r="P146" s="20"/>
      <c r="Q146" s="12"/>
      <c r="R146" s="12"/>
      <c r="S146" s="12"/>
      <c r="T146" s="12"/>
      <c r="U146" s="12"/>
      <c r="V146" s="12"/>
      <c r="W146" s="12">
        <v>750</v>
      </c>
      <c r="X146" s="149" t="s">
        <v>699</v>
      </c>
      <c r="Y146" s="149"/>
      <c r="Z146" s="12" t="s">
        <v>396</v>
      </c>
      <c r="AA146" s="12" t="s">
        <v>397</v>
      </c>
      <c r="AB146" s="12"/>
    </row>
    <row r="147" s="145" customFormat="1" ht="125" customHeight="1" spans="1:31">
      <c r="A147" s="12">
        <v>130</v>
      </c>
      <c r="B147" s="12" t="s">
        <v>713</v>
      </c>
      <c r="C147" s="12" t="s">
        <v>714</v>
      </c>
      <c r="D147" s="12" t="s">
        <v>669</v>
      </c>
      <c r="E147" s="12" t="s">
        <v>715</v>
      </c>
      <c r="F147" s="12" t="s">
        <v>40</v>
      </c>
      <c r="G147" s="12" t="s">
        <v>716</v>
      </c>
      <c r="H147" s="149" t="s">
        <v>717</v>
      </c>
      <c r="I147" s="12" t="s">
        <v>164</v>
      </c>
      <c r="J147" s="12">
        <v>18</v>
      </c>
      <c r="K147" s="20">
        <f t="shared" ref="K147:K150" si="38">SUM(L147,T147:V147)</f>
        <v>200</v>
      </c>
      <c r="L147" s="20">
        <f t="shared" si="37"/>
        <v>200</v>
      </c>
      <c r="M147" s="20"/>
      <c r="N147" s="20">
        <f>140+60</f>
        <v>200</v>
      </c>
      <c r="O147" s="20">
        <v>0</v>
      </c>
      <c r="P147" s="20">
        <v>0</v>
      </c>
      <c r="Q147" s="12">
        <v>0</v>
      </c>
      <c r="R147" s="12">
        <v>0</v>
      </c>
      <c r="S147" s="12">
        <v>0</v>
      </c>
      <c r="T147" s="12">
        <v>0</v>
      </c>
      <c r="U147" s="12">
        <v>0</v>
      </c>
      <c r="V147" s="12">
        <v>0</v>
      </c>
      <c r="W147" s="12">
        <v>900</v>
      </c>
      <c r="X147" s="149" t="s">
        <v>718</v>
      </c>
      <c r="Y147" s="149"/>
      <c r="Z147" s="12" t="s">
        <v>80</v>
      </c>
      <c r="AA147" s="21" t="s">
        <v>81</v>
      </c>
      <c r="AB147" s="12"/>
      <c r="AC147" s="145"/>
      <c r="AD147" s="145"/>
      <c r="AE147" s="145" t="s">
        <v>63</v>
      </c>
    </row>
    <row r="148" s="144" customFormat="1" ht="43" customHeight="1" spans="1:31">
      <c r="A148" s="107" t="s">
        <v>719</v>
      </c>
      <c r="B148" s="108"/>
      <c r="C148" s="109"/>
      <c r="D148" s="106"/>
      <c r="E148" s="11"/>
      <c r="F148" s="11"/>
      <c r="G148" s="11"/>
      <c r="H148" s="11">
        <v>2</v>
      </c>
      <c r="I148" s="117"/>
      <c r="J148" s="117"/>
      <c r="K148" s="18">
        <f t="shared" ref="K148:V148" si="39">SUM(K149:K150)</f>
        <v>1983.61</v>
      </c>
      <c r="L148" s="18">
        <f t="shared" si="39"/>
        <v>1983.61</v>
      </c>
      <c r="M148" s="18">
        <f t="shared" si="39"/>
        <v>0</v>
      </c>
      <c r="N148" s="18">
        <f t="shared" si="39"/>
        <v>1983.61</v>
      </c>
      <c r="O148" s="18">
        <f t="shared" si="39"/>
        <v>0</v>
      </c>
      <c r="P148" s="18">
        <f t="shared" si="39"/>
        <v>0</v>
      </c>
      <c r="Q148" s="18">
        <f t="shared" si="39"/>
        <v>0</v>
      </c>
      <c r="R148" s="18">
        <f t="shared" si="39"/>
        <v>0</v>
      </c>
      <c r="S148" s="18">
        <f t="shared" si="39"/>
        <v>0</v>
      </c>
      <c r="T148" s="18">
        <f t="shared" si="39"/>
        <v>0</v>
      </c>
      <c r="U148" s="18">
        <f t="shared" si="39"/>
        <v>0</v>
      </c>
      <c r="V148" s="18">
        <f t="shared" si="39"/>
        <v>0</v>
      </c>
      <c r="W148" s="11"/>
      <c r="X148" s="150"/>
      <c r="Y148" s="150"/>
      <c r="Z148" s="123"/>
      <c r="AA148" s="123"/>
      <c r="AB148" s="123"/>
      <c r="AC148" s="144"/>
      <c r="AD148" s="144"/>
      <c r="AE148" s="145"/>
    </row>
    <row r="149" s="145" customFormat="1" ht="94" customHeight="1" spans="1:31">
      <c r="A149" s="12">
        <v>131</v>
      </c>
      <c r="B149" s="12" t="s">
        <v>720</v>
      </c>
      <c r="C149" s="12" t="s">
        <v>721</v>
      </c>
      <c r="D149" s="12" t="s">
        <v>669</v>
      </c>
      <c r="E149" s="12" t="s">
        <v>722</v>
      </c>
      <c r="F149" s="12" t="s">
        <v>723</v>
      </c>
      <c r="G149" s="12" t="s">
        <v>724</v>
      </c>
      <c r="H149" s="15" t="s">
        <v>725</v>
      </c>
      <c r="I149" s="12" t="s">
        <v>561</v>
      </c>
      <c r="J149" s="12">
        <v>21</v>
      </c>
      <c r="K149" s="20">
        <f t="shared" si="38"/>
        <v>514</v>
      </c>
      <c r="L149" s="20">
        <f t="shared" ref="L149:L167" si="40">SUM(M149:S149)</f>
        <v>514</v>
      </c>
      <c r="M149" s="20"/>
      <c r="N149" s="20">
        <v>514</v>
      </c>
      <c r="O149" s="20"/>
      <c r="P149" s="20"/>
      <c r="Q149" s="12"/>
      <c r="R149" s="12"/>
      <c r="S149" s="12"/>
      <c r="T149" s="12"/>
      <c r="U149" s="12"/>
      <c r="V149" s="12"/>
      <c r="W149" s="12">
        <v>1816</v>
      </c>
      <c r="X149" s="149" t="s">
        <v>726</v>
      </c>
      <c r="Y149" s="149"/>
      <c r="Z149" s="12" t="s">
        <v>727</v>
      </c>
      <c r="AA149" s="12" t="s">
        <v>728</v>
      </c>
      <c r="AB149" s="12"/>
      <c r="AC149" s="145"/>
      <c r="AD149" s="145"/>
      <c r="AE149" s="145" t="s">
        <v>63</v>
      </c>
    </row>
    <row r="150" s="145" customFormat="1" ht="94" customHeight="1" spans="1:31">
      <c r="A150" s="12">
        <v>132</v>
      </c>
      <c r="B150" s="12" t="s">
        <v>729</v>
      </c>
      <c r="C150" s="12" t="s">
        <v>730</v>
      </c>
      <c r="D150" s="12" t="s">
        <v>669</v>
      </c>
      <c r="E150" s="12" t="s">
        <v>722</v>
      </c>
      <c r="F150" s="12" t="s">
        <v>723</v>
      </c>
      <c r="G150" s="12" t="s">
        <v>192</v>
      </c>
      <c r="H150" s="15" t="s">
        <v>731</v>
      </c>
      <c r="I150" s="12" t="s">
        <v>561</v>
      </c>
      <c r="J150" s="12">
        <v>108</v>
      </c>
      <c r="K150" s="20">
        <f t="shared" si="38"/>
        <v>1469.61</v>
      </c>
      <c r="L150" s="20">
        <f t="shared" si="40"/>
        <v>1469.61</v>
      </c>
      <c r="M150" s="20"/>
      <c r="N150" s="20">
        <v>1469.61</v>
      </c>
      <c r="O150" s="20"/>
      <c r="P150" s="20"/>
      <c r="Q150" s="12"/>
      <c r="R150" s="12"/>
      <c r="S150" s="12"/>
      <c r="T150" s="12"/>
      <c r="U150" s="12"/>
      <c r="V150" s="12"/>
      <c r="W150" s="12">
        <v>11260</v>
      </c>
      <c r="X150" s="149" t="s">
        <v>732</v>
      </c>
      <c r="Y150" s="149"/>
      <c r="Z150" s="12" t="s">
        <v>727</v>
      </c>
      <c r="AA150" s="12" t="s">
        <v>728</v>
      </c>
      <c r="AB150" s="12"/>
      <c r="AC150" s="145"/>
      <c r="AD150" s="145"/>
      <c r="AE150" s="145" t="s">
        <v>63</v>
      </c>
    </row>
    <row r="151" s="144" customFormat="1" ht="43" customHeight="1" spans="1:31">
      <c r="A151" s="107" t="s">
        <v>733</v>
      </c>
      <c r="B151" s="108"/>
      <c r="C151" s="109"/>
      <c r="D151" s="106">
        <f t="shared" ref="D151:G151" si="41">SUM(D152:D167)</f>
        <v>0</v>
      </c>
      <c r="E151" s="11">
        <f t="shared" si="41"/>
        <v>0</v>
      </c>
      <c r="F151" s="11">
        <f t="shared" si="41"/>
        <v>0</v>
      </c>
      <c r="G151" s="11">
        <f t="shared" si="41"/>
        <v>0</v>
      </c>
      <c r="H151" s="11">
        <v>16</v>
      </c>
      <c r="I151" s="117">
        <f t="shared" ref="I151:V151" si="42">SUM(I152:I167)</f>
        <v>0</v>
      </c>
      <c r="J151" s="117"/>
      <c r="K151" s="18">
        <f t="shared" si="42"/>
        <v>5464</v>
      </c>
      <c r="L151" s="18">
        <f t="shared" si="42"/>
        <v>5464</v>
      </c>
      <c r="M151" s="18">
        <f t="shared" si="42"/>
        <v>0</v>
      </c>
      <c r="N151" s="18">
        <f t="shared" si="42"/>
        <v>0</v>
      </c>
      <c r="O151" s="18">
        <f t="shared" si="42"/>
        <v>5464</v>
      </c>
      <c r="P151" s="18">
        <f t="shared" si="42"/>
        <v>0</v>
      </c>
      <c r="Q151" s="18">
        <f t="shared" si="42"/>
        <v>0</v>
      </c>
      <c r="R151" s="18">
        <f t="shared" si="42"/>
        <v>0</v>
      </c>
      <c r="S151" s="18">
        <f t="shared" si="42"/>
        <v>0</v>
      </c>
      <c r="T151" s="18">
        <f t="shared" si="42"/>
        <v>0</v>
      </c>
      <c r="U151" s="18">
        <f t="shared" si="42"/>
        <v>0</v>
      </c>
      <c r="V151" s="18">
        <f t="shared" si="42"/>
        <v>0</v>
      </c>
      <c r="W151" s="11"/>
      <c r="X151" s="150"/>
      <c r="Y151" s="150"/>
      <c r="Z151" s="123"/>
      <c r="AA151" s="123"/>
      <c r="AB151" s="123"/>
      <c r="AC151" s="144"/>
      <c r="AD151" s="144"/>
      <c r="AE151" s="145"/>
    </row>
    <row r="152" s="145" customFormat="1" ht="107" customHeight="1" spans="1:28">
      <c r="A152" s="12">
        <v>133</v>
      </c>
      <c r="B152" s="12" t="s">
        <v>734</v>
      </c>
      <c r="C152" s="12" t="s">
        <v>735</v>
      </c>
      <c r="D152" s="12" t="s">
        <v>669</v>
      </c>
      <c r="E152" s="12" t="s">
        <v>722</v>
      </c>
      <c r="F152" s="12" t="s">
        <v>40</v>
      </c>
      <c r="G152" s="12" t="s">
        <v>736</v>
      </c>
      <c r="H152" s="15" t="s">
        <v>737</v>
      </c>
      <c r="I152" s="12" t="s">
        <v>561</v>
      </c>
      <c r="J152" s="12">
        <v>5.6</v>
      </c>
      <c r="K152" s="20">
        <f t="shared" ref="K152:K167" si="43">SUM(L152,T152:V152)</f>
        <v>390</v>
      </c>
      <c r="L152" s="20">
        <f t="shared" si="40"/>
        <v>390</v>
      </c>
      <c r="M152" s="20"/>
      <c r="N152" s="20"/>
      <c r="O152" s="20">
        <v>390</v>
      </c>
      <c r="P152" s="20"/>
      <c r="Q152" s="12"/>
      <c r="R152" s="12"/>
      <c r="S152" s="12"/>
      <c r="T152" s="12"/>
      <c r="U152" s="12"/>
      <c r="V152" s="12"/>
      <c r="W152" s="12">
        <v>35</v>
      </c>
      <c r="X152" s="149" t="s">
        <v>738</v>
      </c>
      <c r="Y152" s="149"/>
      <c r="Z152" s="12" t="s">
        <v>739</v>
      </c>
      <c r="AA152" s="21" t="s">
        <v>740</v>
      </c>
      <c r="AB152" s="12"/>
    </row>
    <row r="153" s="145" customFormat="1" ht="107" customHeight="1" spans="1:28">
      <c r="A153" s="12">
        <v>134</v>
      </c>
      <c r="B153" s="12" t="s">
        <v>741</v>
      </c>
      <c r="C153" s="12" t="s">
        <v>742</v>
      </c>
      <c r="D153" s="12" t="s">
        <v>669</v>
      </c>
      <c r="E153" s="12" t="s">
        <v>673</v>
      </c>
      <c r="F153" s="12" t="s">
        <v>40</v>
      </c>
      <c r="G153" s="12" t="s">
        <v>242</v>
      </c>
      <c r="H153" s="15" t="s">
        <v>743</v>
      </c>
      <c r="I153" s="12" t="s">
        <v>561</v>
      </c>
      <c r="J153" s="12">
        <v>13.5</v>
      </c>
      <c r="K153" s="20">
        <f t="shared" si="43"/>
        <v>390</v>
      </c>
      <c r="L153" s="20">
        <f t="shared" si="40"/>
        <v>390</v>
      </c>
      <c r="M153" s="20"/>
      <c r="N153" s="20"/>
      <c r="O153" s="20">
        <v>390</v>
      </c>
      <c r="P153" s="20"/>
      <c r="Q153" s="12"/>
      <c r="R153" s="12"/>
      <c r="S153" s="12"/>
      <c r="T153" s="12"/>
      <c r="U153" s="12"/>
      <c r="V153" s="12"/>
      <c r="W153" s="12">
        <v>35</v>
      </c>
      <c r="X153" s="149" t="s">
        <v>744</v>
      </c>
      <c r="Y153" s="149"/>
      <c r="Z153" s="12" t="s">
        <v>739</v>
      </c>
      <c r="AA153" s="21" t="s">
        <v>740</v>
      </c>
      <c r="AB153" s="12"/>
    </row>
    <row r="154" s="145" customFormat="1" ht="107" customHeight="1" spans="1:28">
      <c r="A154" s="12">
        <v>135</v>
      </c>
      <c r="B154" s="12" t="s">
        <v>745</v>
      </c>
      <c r="C154" s="12" t="s">
        <v>746</v>
      </c>
      <c r="D154" s="12" t="s">
        <v>669</v>
      </c>
      <c r="E154" s="12" t="s">
        <v>722</v>
      </c>
      <c r="F154" s="12" t="s">
        <v>40</v>
      </c>
      <c r="G154" s="12" t="s">
        <v>257</v>
      </c>
      <c r="H154" s="15" t="s">
        <v>747</v>
      </c>
      <c r="I154" s="12" t="s">
        <v>561</v>
      </c>
      <c r="J154" s="12">
        <v>5.4</v>
      </c>
      <c r="K154" s="20">
        <f t="shared" si="43"/>
        <v>375</v>
      </c>
      <c r="L154" s="20">
        <f t="shared" si="40"/>
        <v>375</v>
      </c>
      <c r="M154" s="20"/>
      <c r="N154" s="20"/>
      <c r="O154" s="20">
        <v>375</v>
      </c>
      <c r="P154" s="20"/>
      <c r="Q154" s="12"/>
      <c r="R154" s="12"/>
      <c r="S154" s="12"/>
      <c r="T154" s="12"/>
      <c r="U154" s="12"/>
      <c r="V154" s="12"/>
      <c r="W154" s="12">
        <v>35</v>
      </c>
      <c r="X154" s="149" t="s">
        <v>748</v>
      </c>
      <c r="Y154" s="149"/>
      <c r="Z154" s="12" t="s">
        <v>739</v>
      </c>
      <c r="AA154" s="21" t="s">
        <v>740</v>
      </c>
      <c r="AB154" s="12"/>
    </row>
    <row r="155" s="145" customFormat="1" ht="107" customHeight="1" spans="1:28">
      <c r="A155" s="12">
        <v>136</v>
      </c>
      <c r="B155" s="12" t="s">
        <v>749</v>
      </c>
      <c r="C155" s="12" t="s">
        <v>750</v>
      </c>
      <c r="D155" s="12" t="s">
        <v>669</v>
      </c>
      <c r="E155" s="12" t="s">
        <v>722</v>
      </c>
      <c r="F155" s="12" t="s">
        <v>40</v>
      </c>
      <c r="G155" s="12" t="s">
        <v>751</v>
      </c>
      <c r="H155" s="15" t="s">
        <v>752</v>
      </c>
      <c r="I155" s="12" t="s">
        <v>561</v>
      </c>
      <c r="J155" s="12">
        <v>2</v>
      </c>
      <c r="K155" s="20">
        <f t="shared" si="43"/>
        <v>400</v>
      </c>
      <c r="L155" s="20">
        <f t="shared" si="40"/>
        <v>400</v>
      </c>
      <c r="M155" s="20"/>
      <c r="N155" s="20"/>
      <c r="O155" s="20">
        <v>400</v>
      </c>
      <c r="P155" s="20"/>
      <c r="Q155" s="12"/>
      <c r="R155" s="12"/>
      <c r="S155" s="12"/>
      <c r="T155" s="12"/>
      <c r="U155" s="12"/>
      <c r="V155" s="12"/>
      <c r="W155" s="12">
        <v>35</v>
      </c>
      <c r="X155" s="149" t="s">
        <v>753</v>
      </c>
      <c r="Y155" s="149"/>
      <c r="Z155" s="12" t="s">
        <v>739</v>
      </c>
      <c r="AA155" s="21" t="s">
        <v>740</v>
      </c>
      <c r="AB155" s="12"/>
    </row>
    <row r="156" s="145" customFormat="1" ht="107" customHeight="1" spans="1:28">
      <c r="A156" s="12">
        <v>137</v>
      </c>
      <c r="B156" s="12" t="s">
        <v>754</v>
      </c>
      <c r="C156" s="12" t="s">
        <v>755</v>
      </c>
      <c r="D156" s="12" t="s">
        <v>669</v>
      </c>
      <c r="E156" s="12" t="s">
        <v>722</v>
      </c>
      <c r="F156" s="12" t="s">
        <v>40</v>
      </c>
      <c r="G156" s="12" t="s">
        <v>217</v>
      </c>
      <c r="H156" s="15" t="s">
        <v>756</v>
      </c>
      <c r="I156" s="12" t="s">
        <v>561</v>
      </c>
      <c r="J156" s="12">
        <v>5.62</v>
      </c>
      <c r="K156" s="20">
        <f t="shared" si="43"/>
        <v>390</v>
      </c>
      <c r="L156" s="20">
        <f t="shared" si="40"/>
        <v>390</v>
      </c>
      <c r="M156" s="20"/>
      <c r="N156" s="20"/>
      <c r="O156" s="20">
        <v>390</v>
      </c>
      <c r="P156" s="20"/>
      <c r="Q156" s="12"/>
      <c r="R156" s="12"/>
      <c r="S156" s="12"/>
      <c r="T156" s="12"/>
      <c r="U156" s="12"/>
      <c r="V156" s="12"/>
      <c r="W156" s="12">
        <v>40</v>
      </c>
      <c r="X156" s="149" t="s">
        <v>757</v>
      </c>
      <c r="Y156" s="149"/>
      <c r="Z156" s="12" t="s">
        <v>739</v>
      </c>
      <c r="AA156" s="21" t="s">
        <v>740</v>
      </c>
      <c r="AB156" s="12"/>
    </row>
    <row r="157" s="145" customFormat="1" ht="107" customHeight="1" spans="1:28">
      <c r="A157" s="12">
        <v>138</v>
      </c>
      <c r="B157" s="12" t="s">
        <v>758</v>
      </c>
      <c r="C157" s="12" t="s">
        <v>759</v>
      </c>
      <c r="D157" s="12" t="s">
        <v>669</v>
      </c>
      <c r="E157" s="12" t="s">
        <v>722</v>
      </c>
      <c r="F157" s="12" t="s">
        <v>40</v>
      </c>
      <c r="G157" s="12" t="s">
        <v>262</v>
      </c>
      <c r="H157" s="15" t="s">
        <v>760</v>
      </c>
      <c r="I157" s="12" t="s">
        <v>561</v>
      </c>
      <c r="J157" s="12">
        <v>5.5</v>
      </c>
      <c r="K157" s="20">
        <f t="shared" si="43"/>
        <v>395</v>
      </c>
      <c r="L157" s="20">
        <f t="shared" si="40"/>
        <v>395</v>
      </c>
      <c r="M157" s="20"/>
      <c r="N157" s="20"/>
      <c r="O157" s="20">
        <v>395</v>
      </c>
      <c r="P157" s="20"/>
      <c r="Q157" s="12"/>
      <c r="R157" s="12"/>
      <c r="S157" s="12"/>
      <c r="T157" s="12"/>
      <c r="U157" s="12"/>
      <c r="V157" s="12"/>
      <c r="W157" s="12">
        <v>35</v>
      </c>
      <c r="X157" s="149" t="s">
        <v>761</v>
      </c>
      <c r="Y157" s="149"/>
      <c r="Z157" s="12" t="s">
        <v>739</v>
      </c>
      <c r="AA157" s="21" t="s">
        <v>740</v>
      </c>
      <c r="AB157" s="12"/>
    </row>
    <row r="158" s="145" customFormat="1" ht="107" customHeight="1" spans="1:28">
      <c r="A158" s="12">
        <v>139</v>
      </c>
      <c r="B158" s="12" t="s">
        <v>762</v>
      </c>
      <c r="C158" s="12" t="s">
        <v>763</v>
      </c>
      <c r="D158" s="12" t="s">
        <v>669</v>
      </c>
      <c r="E158" s="12" t="s">
        <v>673</v>
      </c>
      <c r="F158" s="12" t="s">
        <v>40</v>
      </c>
      <c r="G158" s="12" t="s">
        <v>252</v>
      </c>
      <c r="H158" s="15" t="s">
        <v>764</v>
      </c>
      <c r="I158" s="12" t="s">
        <v>385</v>
      </c>
      <c r="J158" s="12">
        <v>2.4</v>
      </c>
      <c r="K158" s="20">
        <f t="shared" si="43"/>
        <v>400</v>
      </c>
      <c r="L158" s="20">
        <f t="shared" si="40"/>
        <v>400</v>
      </c>
      <c r="M158" s="20"/>
      <c r="N158" s="20"/>
      <c r="O158" s="20">
        <v>400</v>
      </c>
      <c r="P158" s="20"/>
      <c r="Q158" s="12"/>
      <c r="R158" s="12"/>
      <c r="S158" s="12"/>
      <c r="T158" s="12"/>
      <c r="U158" s="12"/>
      <c r="V158" s="12"/>
      <c r="W158" s="12">
        <v>40</v>
      </c>
      <c r="X158" s="149" t="s">
        <v>765</v>
      </c>
      <c r="Y158" s="149"/>
      <c r="Z158" s="12" t="s">
        <v>739</v>
      </c>
      <c r="AA158" s="21" t="s">
        <v>740</v>
      </c>
      <c r="AB158" s="12"/>
    </row>
    <row r="159" s="145" customFormat="1" ht="107" customHeight="1" spans="1:28">
      <c r="A159" s="12">
        <v>140</v>
      </c>
      <c r="B159" s="12" t="s">
        <v>766</v>
      </c>
      <c r="C159" s="12" t="s">
        <v>767</v>
      </c>
      <c r="D159" s="12" t="s">
        <v>669</v>
      </c>
      <c r="E159" s="12" t="s">
        <v>722</v>
      </c>
      <c r="F159" s="12" t="s">
        <v>40</v>
      </c>
      <c r="G159" s="12" t="s">
        <v>237</v>
      </c>
      <c r="H159" s="15" t="s">
        <v>768</v>
      </c>
      <c r="I159" s="12" t="s">
        <v>561</v>
      </c>
      <c r="J159" s="12">
        <v>0.6</v>
      </c>
      <c r="K159" s="20">
        <f t="shared" si="43"/>
        <v>400</v>
      </c>
      <c r="L159" s="20">
        <f t="shared" si="40"/>
        <v>400</v>
      </c>
      <c r="M159" s="20"/>
      <c r="N159" s="20"/>
      <c r="O159" s="20">
        <v>400</v>
      </c>
      <c r="P159" s="20"/>
      <c r="Q159" s="12"/>
      <c r="R159" s="12"/>
      <c r="S159" s="12"/>
      <c r="T159" s="12"/>
      <c r="U159" s="12"/>
      <c r="V159" s="12"/>
      <c r="W159" s="12">
        <v>45</v>
      </c>
      <c r="X159" s="149" t="s">
        <v>769</v>
      </c>
      <c r="Y159" s="149"/>
      <c r="Z159" s="12" t="s">
        <v>739</v>
      </c>
      <c r="AA159" s="21" t="s">
        <v>740</v>
      </c>
      <c r="AB159" s="12"/>
    </row>
    <row r="160" s="145" customFormat="1" ht="107" customHeight="1" spans="1:28">
      <c r="A160" s="12">
        <v>141</v>
      </c>
      <c r="B160" s="12" t="s">
        <v>770</v>
      </c>
      <c r="C160" s="12" t="s">
        <v>771</v>
      </c>
      <c r="D160" s="12" t="s">
        <v>669</v>
      </c>
      <c r="E160" s="12" t="s">
        <v>722</v>
      </c>
      <c r="F160" s="12" t="s">
        <v>40</v>
      </c>
      <c r="G160" s="12" t="s">
        <v>222</v>
      </c>
      <c r="H160" s="15" t="s">
        <v>772</v>
      </c>
      <c r="I160" s="12" t="s">
        <v>561</v>
      </c>
      <c r="J160" s="12">
        <v>3.9</v>
      </c>
      <c r="K160" s="20">
        <f t="shared" si="43"/>
        <v>274</v>
      </c>
      <c r="L160" s="20">
        <f t="shared" si="40"/>
        <v>274</v>
      </c>
      <c r="M160" s="20"/>
      <c r="N160" s="20"/>
      <c r="O160" s="20">
        <v>274</v>
      </c>
      <c r="P160" s="20"/>
      <c r="Q160" s="12"/>
      <c r="R160" s="12"/>
      <c r="S160" s="12"/>
      <c r="T160" s="12"/>
      <c r="U160" s="12"/>
      <c r="V160" s="12"/>
      <c r="W160" s="12">
        <v>30</v>
      </c>
      <c r="X160" s="149" t="s">
        <v>773</v>
      </c>
      <c r="Y160" s="149"/>
      <c r="Z160" s="12" t="s">
        <v>739</v>
      </c>
      <c r="AA160" s="21" t="s">
        <v>740</v>
      </c>
      <c r="AB160" s="12"/>
    </row>
    <row r="161" s="145" customFormat="1" ht="107" customHeight="1" spans="1:28">
      <c r="A161" s="12">
        <v>142</v>
      </c>
      <c r="B161" s="12" t="s">
        <v>774</v>
      </c>
      <c r="C161" s="12" t="s">
        <v>775</v>
      </c>
      <c r="D161" s="12" t="s">
        <v>669</v>
      </c>
      <c r="E161" s="12" t="s">
        <v>722</v>
      </c>
      <c r="F161" s="12" t="s">
        <v>40</v>
      </c>
      <c r="G161" s="12" t="s">
        <v>207</v>
      </c>
      <c r="H161" s="15" t="s">
        <v>776</v>
      </c>
      <c r="I161" s="12" t="s">
        <v>777</v>
      </c>
      <c r="J161" s="12">
        <v>30</v>
      </c>
      <c r="K161" s="20">
        <f t="shared" si="43"/>
        <v>120</v>
      </c>
      <c r="L161" s="20">
        <f t="shared" si="40"/>
        <v>120</v>
      </c>
      <c r="M161" s="20"/>
      <c r="N161" s="20"/>
      <c r="O161" s="20">
        <v>120</v>
      </c>
      <c r="P161" s="20"/>
      <c r="Q161" s="12"/>
      <c r="R161" s="12"/>
      <c r="S161" s="12"/>
      <c r="T161" s="12"/>
      <c r="U161" s="12"/>
      <c r="V161" s="12"/>
      <c r="W161" s="12">
        <v>15</v>
      </c>
      <c r="X161" s="149" t="s">
        <v>778</v>
      </c>
      <c r="Y161" s="149"/>
      <c r="Z161" s="12" t="s">
        <v>739</v>
      </c>
      <c r="AA161" s="21" t="s">
        <v>740</v>
      </c>
      <c r="AB161" s="12"/>
    </row>
    <row r="162" s="145" customFormat="1" ht="107" customHeight="1" spans="1:28">
      <c r="A162" s="12">
        <v>143</v>
      </c>
      <c r="B162" s="12" t="s">
        <v>779</v>
      </c>
      <c r="C162" s="12" t="s">
        <v>780</v>
      </c>
      <c r="D162" s="12" t="s">
        <v>669</v>
      </c>
      <c r="E162" s="12" t="s">
        <v>722</v>
      </c>
      <c r="F162" s="12" t="s">
        <v>40</v>
      </c>
      <c r="G162" s="12" t="s">
        <v>267</v>
      </c>
      <c r="H162" s="15" t="s">
        <v>781</v>
      </c>
      <c r="I162" s="12" t="s">
        <v>561</v>
      </c>
      <c r="J162" s="12">
        <v>5.6</v>
      </c>
      <c r="K162" s="20">
        <f t="shared" si="43"/>
        <v>392</v>
      </c>
      <c r="L162" s="20">
        <f t="shared" si="40"/>
        <v>392</v>
      </c>
      <c r="M162" s="20"/>
      <c r="N162" s="20"/>
      <c r="O162" s="20">
        <v>392</v>
      </c>
      <c r="P162" s="20"/>
      <c r="Q162" s="12"/>
      <c r="R162" s="12"/>
      <c r="S162" s="12"/>
      <c r="T162" s="12"/>
      <c r="U162" s="12"/>
      <c r="V162" s="12"/>
      <c r="W162" s="12">
        <v>35</v>
      </c>
      <c r="X162" s="149" t="s">
        <v>782</v>
      </c>
      <c r="Y162" s="149"/>
      <c r="Z162" s="12" t="s">
        <v>739</v>
      </c>
      <c r="AA162" s="21" t="s">
        <v>740</v>
      </c>
      <c r="AB162" s="12"/>
    </row>
    <row r="163" s="145" customFormat="1" ht="107" customHeight="1" spans="1:28">
      <c r="A163" s="12">
        <v>144</v>
      </c>
      <c r="B163" s="12" t="s">
        <v>783</v>
      </c>
      <c r="C163" s="12" t="s">
        <v>784</v>
      </c>
      <c r="D163" s="12" t="s">
        <v>669</v>
      </c>
      <c r="E163" s="12" t="s">
        <v>673</v>
      </c>
      <c r="F163" s="12" t="s">
        <v>40</v>
      </c>
      <c r="G163" s="12" t="s">
        <v>284</v>
      </c>
      <c r="H163" s="15" t="s">
        <v>785</v>
      </c>
      <c r="I163" s="12" t="s">
        <v>385</v>
      </c>
      <c r="J163" s="12">
        <v>2.438</v>
      </c>
      <c r="K163" s="20">
        <f t="shared" si="43"/>
        <v>398</v>
      </c>
      <c r="L163" s="20">
        <f t="shared" si="40"/>
        <v>398</v>
      </c>
      <c r="M163" s="20"/>
      <c r="N163" s="20"/>
      <c r="O163" s="20">
        <v>398</v>
      </c>
      <c r="P163" s="20"/>
      <c r="Q163" s="12"/>
      <c r="R163" s="12"/>
      <c r="S163" s="12"/>
      <c r="T163" s="12"/>
      <c r="U163" s="12"/>
      <c r="V163" s="12"/>
      <c r="W163" s="12">
        <v>40</v>
      </c>
      <c r="X163" s="149" t="s">
        <v>786</v>
      </c>
      <c r="Y163" s="149"/>
      <c r="Z163" s="12" t="s">
        <v>739</v>
      </c>
      <c r="AA163" s="21" t="s">
        <v>740</v>
      </c>
      <c r="AB163" s="12"/>
    </row>
    <row r="164" s="145" customFormat="1" ht="107" customHeight="1" spans="1:28">
      <c r="A164" s="12">
        <v>145</v>
      </c>
      <c r="B164" s="12" t="s">
        <v>787</v>
      </c>
      <c r="C164" s="12" t="s">
        <v>788</v>
      </c>
      <c r="D164" s="12" t="s">
        <v>669</v>
      </c>
      <c r="E164" s="12" t="s">
        <v>673</v>
      </c>
      <c r="F164" s="12" t="s">
        <v>40</v>
      </c>
      <c r="G164" s="12" t="s">
        <v>212</v>
      </c>
      <c r="H164" s="15" t="s">
        <v>789</v>
      </c>
      <c r="I164" s="12" t="s">
        <v>561</v>
      </c>
      <c r="J164" s="12">
        <v>3</v>
      </c>
      <c r="K164" s="20">
        <f t="shared" si="43"/>
        <v>150</v>
      </c>
      <c r="L164" s="20">
        <f t="shared" si="40"/>
        <v>150</v>
      </c>
      <c r="M164" s="20"/>
      <c r="N164" s="20"/>
      <c r="O164" s="20">
        <v>150</v>
      </c>
      <c r="P164" s="20"/>
      <c r="Q164" s="12"/>
      <c r="R164" s="12"/>
      <c r="S164" s="12"/>
      <c r="T164" s="12"/>
      <c r="U164" s="12"/>
      <c r="V164" s="12"/>
      <c r="W164" s="12">
        <v>20</v>
      </c>
      <c r="X164" s="149" t="s">
        <v>790</v>
      </c>
      <c r="Y164" s="149"/>
      <c r="Z164" s="12" t="s">
        <v>739</v>
      </c>
      <c r="AA164" s="21" t="s">
        <v>740</v>
      </c>
      <c r="AB164" s="12"/>
    </row>
    <row r="165" s="145" customFormat="1" ht="107" customHeight="1" spans="1:28">
      <c r="A165" s="12">
        <v>146</v>
      </c>
      <c r="B165" s="12" t="s">
        <v>791</v>
      </c>
      <c r="C165" s="12" t="s">
        <v>792</v>
      </c>
      <c r="D165" s="12" t="s">
        <v>669</v>
      </c>
      <c r="E165" s="12" t="s">
        <v>722</v>
      </c>
      <c r="F165" s="12" t="s">
        <v>40</v>
      </c>
      <c r="G165" s="12" t="s">
        <v>793</v>
      </c>
      <c r="H165" s="15" t="s">
        <v>794</v>
      </c>
      <c r="I165" s="12" t="s">
        <v>561</v>
      </c>
      <c r="J165" s="12">
        <v>3</v>
      </c>
      <c r="K165" s="20">
        <f t="shared" si="43"/>
        <v>210</v>
      </c>
      <c r="L165" s="20">
        <f t="shared" si="40"/>
        <v>210</v>
      </c>
      <c r="M165" s="20"/>
      <c r="N165" s="20"/>
      <c r="O165" s="20">
        <v>210</v>
      </c>
      <c r="P165" s="20"/>
      <c r="Q165" s="12"/>
      <c r="R165" s="12"/>
      <c r="S165" s="12"/>
      <c r="T165" s="12"/>
      <c r="U165" s="12"/>
      <c r="V165" s="12"/>
      <c r="W165" s="12">
        <v>45</v>
      </c>
      <c r="X165" s="149" t="s">
        <v>795</v>
      </c>
      <c r="Y165" s="149"/>
      <c r="Z165" s="12" t="s">
        <v>739</v>
      </c>
      <c r="AA165" s="21" t="s">
        <v>740</v>
      </c>
      <c r="AB165" s="12"/>
    </row>
    <row r="166" s="145" customFormat="1" ht="107" customHeight="1" spans="1:28">
      <c r="A166" s="12">
        <v>147</v>
      </c>
      <c r="B166" s="12" t="s">
        <v>796</v>
      </c>
      <c r="C166" s="12" t="s">
        <v>797</v>
      </c>
      <c r="D166" s="12" t="s">
        <v>669</v>
      </c>
      <c r="E166" s="12" t="s">
        <v>722</v>
      </c>
      <c r="F166" s="12" t="s">
        <v>40</v>
      </c>
      <c r="G166" s="12" t="s">
        <v>227</v>
      </c>
      <c r="H166" s="15" t="s">
        <v>798</v>
      </c>
      <c r="I166" s="12" t="s">
        <v>561</v>
      </c>
      <c r="J166" s="12">
        <v>5.5</v>
      </c>
      <c r="K166" s="20">
        <f t="shared" si="43"/>
        <v>385</v>
      </c>
      <c r="L166" s="20">
        <f t="shared" si="40"/>
        <v>385</v>
      </c>
      <c r="M166" s="20"/>
      <c r="N166" s="20"/>
      <c r="O166" s="20">
        <v>385</v>
      </c>
      <c r="P166" s="20"/>
      <c r="Q166" s="12"/>
      <c r="R166" s="12"/>
      <c r="S166" s="12"/>
      <c r="T166" s="12"/>
      <c r="U166" s="12"/>
      <c r="V166" s="12"/>
      <c r="W166" s="12">
        <v>50</v>
      </c>
      <c r="X166" s="149" t="s">
        <v>799</v>
      </c>
      <c r="Y166" s="149"/>
      <c r="Z166" s="12" t="s">
        <v>739</v>
      </c>
      <c r="AA166" s="21" t="s">
        <v>740</v>
      </c>
      <c r="AB166" s="12"/>
    </row>
    <row r="167" s="145" customFormat="1" ht="107" customHeight="1" spans="1:28">
      <c r="A167" s="12">
        <v>148</v>
      </c>
      <c r="B167" s="12" t="s">
        <v>800</v>
      </c>
      <c r="C167" s="12" t="s">
        <v>801</v>
      </c>
      <c r="D167" s="12" t="s">
        <v>669</v>
      </c>
      <c r="E167" s="12" t="s">
        <v>673</v>
      </c>
      <c r="F167" s="12" t="s">
        <v>40</v>
      </c>
      <c r="G167" s="12" t="s">
        <v>609</v>
      </c>
      <c r="H167" s="15" t="s">
        <v>802</v>
      </c>
      <c r="I167" s="12" t="s">
        <v>561</v>
      </c>
      <c r="J167" s="12">
        <v>2.94</v>
      </c>
      <c r="K167" s="20">
        <f t="shared" si="43"/>
        <v>395</v>
      </c>
      <c r="L167" s="20">
        <f t="shared" si="40"/>
        <v>395</v>
      </c>
      <c r="M167" s="20"/>
      <c r="N167" s="20"/>
      <c r="O167" s="20">
        <v>395</v>
      </c>
      <c r="P167" s="20"/>
      <c r="Q167" s="12"/>
      <c r="R167" s="12"/>
      <c r="S167" s="12"/>
      <c r="T167" s="12"/>
      <c r="U167" s="12"/>
      <c r="V167" s="12"/>
      <c r="W167" s="12">
        <v>30</v>
      </c>
      <c r="X167" s="149" t="s">
        <v>803</v>
      </c>
      <c r="Y167" s="149"/>
      <c r="Z167" s="12" t="s">
        <v>739</v>
      </c>
      <c r="AA167" s="21" t="s">
        <v>740</v>
      </c>
      <c r="AB167" s="12"/>
    </row>
    <row r="168" s="144" customFormat="1" ht="43" customHeight="1" spans="1:31">
      <c r="A168" s="11" t="s">
        <v>804</v>
      </c>
      <c r="B168" s="104" t="s">
        <v>805</v>
      </c>
      <c r="C168" s="105"/>
      <c r="D168" s="106"/>
      <c r="E168" s="11"/>
      <c r="F168" s="11"/>
      <c r="G168" s="11"/>
      <c r="H168" s="11">
        <v>1</v>
      </c>
      <c r="I168" s="117"/>
      <c r="J168" s="117">
        <f>K168/K7</f>
        <v>0.026085662182371</v>
      </c>
      <c r="K168" s="18">
        <f t="shared" ref="K168:V168" si="44">SUM(K169)</f>
        <v>3600</v>
      </c>
      <c r="L168" s="18">
        <f t="shared" si="44"/>
        <v>3600</v>
      </c>
      <c r="M168" s="18">
        <f t="shared" si="44"/>
        <v>3600</v>
      </c>
      <c r="N168" s="18">
        <f t="shared" si="44"/>
        <v>0</v>
      </c>
      <c r="O168" s="18">
        <f t="shared" si="44"/>
        <v>0</v>
      </c>
      <c r="P168" s="18">
        <f t="shared" si="44"/>
        <v>0</v>
      </c>
      <c r="Q168" s="18">
        <f t="shared" si="44"/>
        <v>0</v>
      </c>
      <c r="R168" s="18">
        <f t="shared" si="44"/>
        <v>0</v>
      </c>
      <c r="S168" s="18">
        <f t="shared" si="44"/>
        <v>0</v>
      </c>
      <c r="T168" s="18">
        <f t="shared" si="44"/>
        <v>0</v>
      </c>
      <c r="U168" s="18">
        <f t="shared" si="44"/>
        <v>0</v>
      </c>
      <c r="V168" s="18">
        <f t="shared" si="44"/>
        <v>0</v>
      </c>
      <c r="W168" s="11"/>
      <c r="X168" s="150"/>
      <c r="Y168" s="150"/>
      <c r="Z168" s="18"/>
      <c r="AA168" s="18"/>
      <c r="AB168" s="18"/>
      <c r="AC168" s="144"/>
      <c r="AD168" s="144"/>
      <c r="AE168" s="145"/>
    </row>
    <row r="169" s="147" customFormat="1" ht="129" customHeight="1" spans="1:31">
      <c r="A169" s="12">
        <v>149</v>
      </c>
      <c r="B169" s="12" t="s">
        <v>806</v>
      </c>
      <c r="C169" s="12" t="s">
        <v>807</v>
      </c>
      <c r="D169" s="12" t="s">
        <v>808</v>
      </c>
      <c r="E169" s="12" t="s">
        <v>809</v>
      </c>
      <c r="F169" s="12" t="s">
        <v>40</v>
      </c>
      <c r="G169" s="12" t="s">
        <v>185</v>
      </c>
      <c r="H169" s="15" t="s">
        <v>810</v>
      </c>
      <c r="I169" s="12" t="s">
        <v>642</v>
      </c>
      <c r="J169" s="12">
        <v>12000</v>
      </c>
      <c r="K169" s="20">
        <f t="shared" ref="K169:K173" si="45">SUM(L169,T169:V169)</f>
        <v>3600</v>
      </c>
      <c r="L169" s="20">
        <f t="shared" ref="L169:L173" si="46">SUM(M169:S169)</f>
        <v>3600</v>
      </c>
      <c r="M169" s="20">
        <f>J169*0.3</f>
        <v>3600</v>
      </c>
      <c r="N169" s="20"/>
      <c r="O169" s="20"/>
      <c r="P169" s="20"/>
      <c r="Q169" s="12"/>
      <c r="R169" s="12"/>
      <c r="S169" s="12"/>
      <c r="T169" s="12"/>
      <c r="U169" s="12"/>
      <c r="V169" s="12"/>
      <c r="W169" s="12">
        <v>12000</v>
      </c>
      <c r="X169" s="149" t="s">
        <v>811</v>
      </c>
      <c r="Y169" s="149"/>
      <c r="Z169" s="12" t="s">
        <v>812</v>
      </c>
      <c r="AA169" s="12" t="s">
        <v>813</v>
      </c>
      <c r="AB169" s="12"/>
      <c r="AC169" s="147"/>
      <c r="AD169" s="147"/>
      <c r="AE169" s="145" t="s">
        <v>63</v>
      </c>
    </row>
    <row r="170" s="144" customFormat="1" ht="43" customHeight="1" spans="1:31">
      <c r="A170" s="11" t="s">
        <v>814</v>
      </c>
      <c r="B170" s="104" t="s">
        <v>815</v>
      </c>
      <c r="C170" s="105"/>
      <c r="D170" s="106"/>
      <c r="E170" s="11"/>
      <c r="F170" s="11"/>
      <c r="G170" s="11"/>
      <c r="H170" s="11">
        <v>1</v>
      </c>
      <c r="I170" s="117"/>
      <c r="J170" s="117">
        <f>K170/K7</f>
        <v>0.0156238624437857</v>
      </c>
      <c r="K170" s="18">
        <f t="shared" ref="K170:V170" si="47">SUM(K171)</f>
        <v>2156.2</v>
      </c>
      <c r="L170" s="18">
        <f t="shared" si="47"/>
        <v>2156.2</v>
      </c>
      <c r="M170" s="18">
        <f t="shared" si="47"/>
        <v>2156.2</v>
      </c>
      <c r="N170" s="18">
        <f t="shared" si="47"/>
        <v>0</v>
      </c>
      <c r="O170" s="18">
        <f t="shared" si="47"/>
        <v>0</v>
      </c>
      <c r="P170" s="18">
        <f t="shared" si="47"/>
        <v>0</v>
      </c>
      <c r="Q170" s="18">
        <f t="shared" si="47"/>
        <v>0</v>
      </c>
      <c r="R170" s="18">
        <f t="shared" si="47"/>
        <v>0</v>
      </c>
      <c r="S170" s="18">
        <f t="shared" si="47"/>
        <v>0</v>
      </c>
      <c r="T170" s="18">
        <f t="shared" si="47"/>
        <v>0</v>
      </c>
      <c r="U170" s="18">
        <f t="shared" si="47"/>
        <v>0</v>
      </c>
      <c r="V170" s="18">
        <f t="shared" si="47"/>
        <v>0</v>
      </c>
      <c r="W170" s="11"/>
      <c r="X170" s="150"/>
      <c r="Y170" s="150"/>
      <c r="Z170" s="18"/>
      <c r="AA170" s="18"/>
      <c r="AB170" s="18"/>
      <c r="AC170" s="144"/>
      <c r="AD170" s="144"/>
      <c r="AE170" s="145"/>
    </row>
    <row r="171" s="145" customFormat="1" ht="130" customHeight="1" spans="1:28">
      <c r="A171" s="12">
        <v>150</v>
      </c>
      <c r="B171" s="12" t="s">
        <v>816</v>
      </c>
      <c r="C171" s="12" t="s">
        <v>817</v>
      </c>
      <c r="D171" s="12" t="s">
        <v>815</v>
      </c>
      <c r="E171" s="12" t="s">
        <v>818</v>
      </c>
      <c r="F171" s="12" t="s">
        <v>40</v>
      </c>
      <c r="G171" s="12" t="s">
        <v>819</v>
      </c>
      <c r="H171" s="15" t="s">
        <v>820</v>
      </c>
      <c r="I171" s="12" t="s">
        <v>821</v>
      </c>
      <c r="J171" s="12">
        <v>2156.2</v>
      </c>
      <c r="K171" s="20">
        <f t="shared" si="45"/>
        <v>2156.2</v>
      </c>
      <c r="L171" s="20">
        <f t="shared" si="46"/>
        <v>2156.2</v>
      </c>
      <c r="M171" s="20">
        <v>2156.2</v>
      </c>
      <c r="N171" s="20"/>
      <c r="O171" s="20"/>
      <c r="P171" s="20"/>
      <c r="Q171" s="12"/>
      <c r="R171" s="12"/>
      <c r="S171" s="12"/>
      <c r="T171" s="12"/>
      <c r="U171" s="12"/>
      <c r="V171" s="12"/>
      <c r="W171" s="12">
        <v>12367</v>
      </c>
      <c r="X171" s="149" t="s">
        <v>822</v>
      </c>
      <c r="Y171" s="149"/>
      <c r="Z171" s="12" t="s">
        <v>823</v>
      </c>
      <c r="AA171" s="12" t="s">
        <v>824</v>
      </c>
      <c r="AB171" s="12"/>
    </row>
    <row r="172" s="144" customFormat="1" ht="43" customHeight="1" spans="1:31">
      <c r="A172" s="11" t="s">
        <v>825</v>
      </c>
      <c r="B172" s="104" t="s">
        <v>826</v>
      </c>
      <c r="C172" s="105"/>
      <c r="D172" s="106"/>
      <c r="E172" s="11"/>
      <c r="F172" s="11"/>
      <c r="G172" s="11"/>
      <c r="H172" s="11">
        <v>1</v>
      </c>
      <c r="I172" s="117"/>
      <c r="J172" s="117">
        <f>K172/K7</f>
        <v>0.00362300863644042</v>
      </c>
      <c r="K172" s="18">
        <f t="shared" ref="K172:V172" si="48">SUM(K173)</f>
        <v>500</v>
      </c>
      <c r="L172" s="18">
        <f t="shared" si="48"/>
        <v>500</v>
      </c>
      <c r="M172" s="18">
        <f t="shared" si="48"/>
        <v>500</v>
      </c>
      <c r="N172" s="18">
        <f t="shared" si="48"/>
        <v>0</v>
      </c>
      <c r="O172" s="18">
        <f t="shared" si="48"/>
        <v>0</v>
      </c>
      <c r="P172" s="18">
        <f t="shared" si="48"/>
        <v>0</v>
      </c>
      <c r="Q172" s="18">
        <f t="shared" si="48"/>
        <v>0</v>
      </c>
      <c r="R172" s="18">
        <f t="shared" si="48"/>
        <v>0</v>
      </c>
      <c r="S172" s="18">
        <f t="shared" si="48"/>
        <v>0</v>
      </c>
      <c r="T172" s="18">
        <f t="shared" si="48"/>
        <v>0</v>
      </c>
      <c r="U172" s="18">
        <f t="shared" si="48"/>
        <v>0</v>
      </c>
      <c r="V172" s="18">
        <f t="shared" si="48"/>
        <v>0</v>
      </c>
      <c r="W172" s="11"/>
      <c r="X172" s="150"/>
      <c r="Y172" s="150"/>
      <c r="Z172" s="18"/>
      <c r="AA172" s="18"/>
      <c r="AB172" s="18"/>
      <c r="AC172" s="144"/>
      <c r="AD172" s="144"/>
      <c r="AE172" s="145"/>
    </row>
    <row r="173" s="145" customFormat="1" ht="124" customHeight="1" spans="1:28">
      <c r="A173" s="12">
        <v>151</v>
      </c>
      <c r="B173" s="12" t="s">
        <v>827</v>
      </c>
      <c r="C173" s="12" t="s">
        <v>828</v>
      </c>
      <c r="D173" s="12" t="s">
        <v>826</v>
      </c>
      <c r="E173" s="12" t="s">
        <v>826</v>
      </c>
      <c r="F173" s="12" t="s">
        <v>40</v>
      </c>
      <c r="G173" s="12" t="s">
        <v>819</v>
      </c>
      <c r="H173" s="15" t="s">
        <v>829</v>
      </c>
      <c r="I173" s="12" t="s">
        <v>821</v>
      </c>
      <c r="J173" s="12">
        <v>500</v>
      </c>
      <c r="K173" s="20">
        <f t="shared" si="45"/>
        <v>500</v>
      </c>
      <c r="L173" s="20">
        <f t="shared" si="46"/>
        <v>500</v>
      </c>
      <c r="M173" s="20">
        <v>500</v>
      </c>
      <c r="N173" s="20"/>
      <c r="O173" s="20"/>
      <c r="P173" s="20"/>
      <c r="Q173" s="12"/>
      <c r="R173" s="12"/>
      <c r="S173" s="12"/>
      <c r="T173" s="12"/>
      <c r="U173" s="12"/>
      <c r="V173" s="12"/>
      <c r="W173" s="12"/>
      <c r="X173" s="149" t="s">
        <v>830</v>
      </c>
      <c r="Y173" s="149"/>
      <c r="Z173" s="12" t="s">
        <v>80</v>
      </c>
      <c r="AA173" s="12" t="s">
        <v>81</v>
      </c>
      <c r="AB173" s="12"/>
    </row>
    <row r="174" s="144" customFormat="1" ht="43" customHeight="1" spans="1:31">
      <c r="A174" s="11" t="s">
        <v>831</v>
      </c>
      <c r="B174" s="104" t="s">
        <v>832</v>
      </c>
      <c r="C174" s="105"/>
      <c r="D174" s="106"/>
      <c r="E174" s="11"/>
      <c r="F174" s="11"/>
      <c r="G174" s="11"/>
      <c r="H174" s="11">
        <v>2</v>
      </c>
      <c r="I174" s="117"/>
      <c r="J174" s="117">
        <f>K174/K7</f>
        <v>0.00143471142003041</v>
      </c>
      <c r="K174" s="18">
        <f t="shared" ref="K174:M174" si="49">SUM(K175:K176)</f>
        <v>198</v>
      </c>
      <c r="L174" s="18">
        <f t="shared" si="49"/>
        <v>198</v>
      </c>
      <c r="M174" s="18">
        <f t="shared" si="49"/>
        <v>150</v>
      </c>
      <c r="N174" s="18">
        <f t="shared" ref="N174:V174" si="50">SUM(N175)</f>
        <v>0</v>
      </c>
      <c r="O174" s="18">
        <f t="shared" si="50"/>
        <v>0</v>
      </c>
      <c r="P174" s="18">
        <f t="shared" si="50"/>
        <v>48</v>
      </c>
      <c r="Q174" s="18">
        <f t="shared" si="50"/>
        <v>0</v>
      </c>
      <c r="R174" s="18">
        <f t="shared" si="50"/>
        <v>0</v>
      </c>
      <c r="S174" s="18">
        <f t="shared" si="50"/>
        <v>0</v>
      </c>
      <c r="T174" s="18">
        <f t="shared" si="50"/>
        <v>0</v>
      </c>
      <c r="U174" s="18">
        <f t="shared" si="50"/>
        <v>0</v>
      </c>
      <c r="V174" s="18">
        <f t="shared" si="50"/>
        <v>0</v>
      </c>
      <c r="W174" s="11"/>
      <c r="X174" s="150"/>
      <c r="Y174" s="150"/>
      <c r="Z174" s="18"/>
      <c r="AA174" s="18"/>
      <c r="AB174" s="18"/>
      <c r="AC174" s="144"/>
      <c r="AD174" s="144"/>
      <c r="AE174" s="145"/>
    </row>
    <row r="175" s="145" customFormat="1" ht="134" customHeight="1" spans="1:28">
      <c r="A175" s="12">
        <v>152</v>
      </c>
      <c r="B175" s="12" t="s">
        <v>833</v>
      </c>
      <c r="C175" s="12" t="s">
        <v>834</v>
      </c>
      <c r="D175" s="12" t="s">
        <v>835</v>
      </c>
      <c r="E175" s="12" t="s">
        <v>836</v>
      </c>
      <c r="F175" s="12" t="s">
        <v>40</v>
      </c>
      <c r="G175" s="12" t="s">
        <v>185</v>
      </c>
      <c r="H175" s="15" t="s">
        <v>837</v>
      </c>
      <c r="I175" s="12" t="s">
        <v>187</v>
      </c>
      <c r="J175" s="12">
        <v>10185</v>
      </c>
      <c r="K175" s="20">
        <f>SUM(L175,T175:V175)</f>
        <v>48</v>
      </c>
      <c r="L175" s="20">
        <f>SUM(M175:S175)</f>
        <v>48</v>
      </c>
      <c r="M175" s="20"/>
      <c r="N175" s="20"/>
      <c r="O175" s="20"/>
      <c r="P175" s="20">
        <v>48</v>
      </c>
      <c r="Q175" s="12"/>
      <c r="R175" s="12"/>
      <c r="S175" s="12"/>
      <c r="T175" s="12"/>
      <c r="U175" s="12"/>
      <c r="V175" s="12"/>
      <c r="W175" s="12">
        <v>10023</v>
      </c>
      <c r="X175" s="149" t="s">
        <v>838</v>
      </c>
      <c r="Y175" s="149"/>
      <c r="Z175" s="12" t="s">
        <v>536</v>
      </c>
      <c r="AA175" s="12" t="s">
        <v>537</v>
      </c>
      <c r="AB175" s="12"/>
    </row>
    <row r="176" s="145" customFormat="1" ht="134" customHeight="1" spans="1:28">
      <c r="A176" s="12">
        <v>153</v>
      </c>
      <c r="B176" s="12" t="s">
        <v>839</v>
      </c>
      <c r="C176" s="12" t="s">
        <v>840</v>
      </c>
      <c r="D176" s="12" t="s">
        <v>632</v>
      </c>
      <c r="E176" s="12" t="s">
        <v>841</v>
      </c>
      <c r="F176" s="12" t="s">
        <v>40</v>
      </c>
      <c r="G176" s="12" t="s">
        <v>185</v>
      </c>
      <c r="H176" s="15" t="s">
        <v>842</v>
      </c>
      <c r="I176" s="12" t="s">
        <v>642</v>
      </c>
      <c r="J176" s="12">
        <v>500</v>
      </c>
      <c r="K176" s="20">
        <f>SUM(L176,T176:V176)</f>
        <v>150</v>
      </c>
      <c r="L176" s="20">
        <f>SUM(M176:S176)</f>
        <v>150</v>
      </c>
      <c r="M176" s="20">
        <v>150</v>
      </c>
      <c r="N176" s="20"/>
      <c r="O176" s="20"/>
      <c r="P176" s="20"/>
      <c r="Q176" s="12"/>
      <c r="R176" s="12"/>
      <c r="S176" s="12"/>
      <c r="T176" s="12"/>
      <c r="U176" s="12"/>
      <c r="V176" s="12"/>
      <c r="W176" s="12">
        <v>2000</v>
      </c>
      <c r="X176" s="149" t="s">
        <v>843</v>
      </c>
      <c r="Y176" s="149"/>
      <c r="Z176" s="12" t="s">
        <v>80</v>
      </c>
      <c r="AA176" s="12" t="s">
        <v>81</v>
      </c>
      <c r="AB176" s="12"/>
    </row>
  </sheetData>
  <autoFilter xmlns:etc="http://www.wps.cn/officeDocument/2017/etCustomData" ref="A7:AE176" etc:filterBottomFollowUsedRange="0">
    <extLst/>
  </autoFilter>
  <mergeCells count="48">
    <mergeCell ref="A1:AB1"/>
    <mergeCell ref="A2:D2"/>
    <mergeCell ref="L3:V3"/>
    <mergeCell ref="L4:S4"/>
    <mergeCell ref="M5:N5"/>
    <mergeCell ref="A7:F7"/>
    <mergeCell ref="B8:C8"/>
    <mergeCell ref="A9:C9"/>
    <mergeCell ref="A36:C36"/>
    <mergeCell ref="A65:C65"/>
    <mergeCell ref="A73:C73"/>
    <mergeCell ref="A81:C81"/>
    <mergeCell ref="A91:C91"/>
    <mergeCell ref="B128:C128"/>
    <mergeCell ref="B136:C136"/>
    <mergeCell ref="A137:C137"/>
    <mergeCell ref="A148:C148"/>
    <mergeCell ref="A151:C151"/>
    <mergeCell ref="B168:C168"/>
    <mergeCell ref="B170:C170"/>
    <mergeCell ref="B172:C172"/>
    <mergeCell ref="B174:C174"/>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 ref="AB3:AB6"/>
  </mergeCells>
  <dataValidations count="4">
    <dataValidation type="list" allowBlank="1" showErrorMessage="1" sqref="E36 E172 E4:E8 E77:E78 E176: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07 F110 F128 F9:F34 F37:F75 F79:F90 F93:F95 F98:F102 F136:F150 F152:F171 F173:F175">
      <formula1>"新建,改建,扩建"</formula1>
    </dataValidation>
    <dataValidation type="list" allowBlank="1" showInputMessage="1" showErrorMessage="1" sqref="D144 D9:D35 D37:D76 D79:D84 D86:D93 D96:D98 D100:D106 D108:D142 D147:D150 D152:D171 D173:D175">
      <formula1>下拉列表!$A$1:$G$1</formula1>
    </dataValidation>
    <dataValidation type="list" allowBlank="1" showInputMessage="1" showErrorMessage="1" sqref="E9:E35 E37:E76 E79:E150 E152:E171 E173:E175">
      <formula1>INDIRECT(D9)</formula1>
    </dataValidation>
  </dataValidations>
  <pageMargins left="0.393055555555556" right="0.393055555555556" top="0.590277777777778" bottom="0.590277777777778" header="0.298611111111111" footer="0.298611111111111"/>
  <pageSetup paperSize="8" scale="3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30" sqref="H30"/>
    </sheetView>
  </sheetViews>
  <sheetFormatPr defaultColWidth="9" defaultRowHeight="17.5"/>
  <cols>
    <col min="1" max="1" width="7.91538461538462" style="29" customWidth="1"/>
    <col min="2" max="2" width="13.5692307692308" style="30" customWidth="1"/>
    <col min="3" max="3" width="28.8076923076923" style="30" customWidth="1"/>
    <col min="4" max="4" width="14.0769230769231" style="30" customWidth="1"/>
    <col min="5" max="5" width="13.6923076923077" style="30" hidden="1" customWidth="1"/>
    <col min="6" max="6" width="7.16923076923077" style="30" hidden="1" customWidth="1"/>
    <col min="7" max="7" width="47.4076923076923" style="30" customWidth="1"/>
    <col min="8" max="8" width="101.1" style="31" customWidth="1"/>
    <col min="9" max="9" width="11" style="31" customWidth="1"/>
    <col min="10" max="10" width="14.3076923076923" style="31" customWidth="1"/>
    <col min="11" max="11" width="20.2769230769231" style="32" customWidth="1"/>
    <col min="12" max="14" width="16.5384615384615" style="32" customWidth="1"/>
    <col min="15" max="15" width="12.3076923076923" style="32" customWidth="1"/>
    <col min="16" max="16" width="13.5384615384615" style="32" customWidth="1"/>
    <col min="17" max="19" width="11" style="30" customWidth="1"/>
    <col min="20" max="21" width="13.5384615384615" style="30" customWidth="1"/>
    <col min="22" max="23" width="10.8538461538462" style="30" customWidth="1"/>
    <col min="24" max="24" width="9.31538461538462" style="33" customWidth="1"/>
    <col min="25" max="25" width="8.46153846153846" style="34" customWidth="1"/>
    <col min="26" max="26" width="10.0692307692308" style="33" customWidth="1"/>
    <col min="27" max="27" width="9" style="35"/>
    <col min="28" max="16384" width="9" style="36"/>
  </cols>
  <sheetData>
    <row r="1" s="22" customFormat="1" ht="84" customHeight="1" spans="1:27">
      <c r="A1" s="37" t="s">
        <v>844</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7" t="s">
        <v>14</v>
      </c>
      <c r="X3" s="10" t="s">
        <v>17</v>
      </c>
      <c r="Y3" s="10" t="s">
        <v>18</v>
      </c>
      <c r="Z3" s="10" t="s">
        <v>19</v>
      </c>
      <c r="AA3" s="125" t="s">
        <v>845</v>
      </c>
    </row>
    <row r="4" s="24" customFormat="1" ht="42" customHeight="1" spans="1:27">
      <c r="A4" s="10"/>
      <c r="B4" s="10"/>
      <c r="C4" s="10"/>
      <c r="D4" s="10"/>
      <c r="E4" s="10"/>
      <c r="F4" s="10"/>
      <c r="G4" s="10"/>
      <c r="H4" s="10"/>
      <c r="I4" s="10"/>
      <c r="J4" s="10"/>
      <c r="K4" s="16"/>
      <c r="L4" s="16" t="s">
        <v>20</v>
      </c>
      <c r="M4" s="16"/>
      <c r="N4" s="16"/>
      <c r="O4" s="16"/>
      <c r="P4" s="16"/>
      <c r="Q4" s="10"/>
      <c r="R4" s="10"/>
      <c r="S4" s="10"/>
      <c r="T4" s="10" t="s">
        <v>21</v>
      </c>
      <c r="U4" s="10" t="s">
        <v>22</v>
      </c>
      <c r="V4" s="10" t="s">
        <v>23</v>
      </c>
      <c r="W4" s="122"/>
      <c r="X4" s="10"/>
      <c r="Y4" s="10"/>
      <c r="Z4" s="10"/>
      <c r="AA4" s="125"/>
    </row>
    <row r="5" s="24" customFormat="1" ht="42" customHeight="1" spans="1:27">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22"/>
      <c r="X5" s="10"/>
      <c r="Y5" s="10"/>
      <c r="Z5" s="10"/>
      <c r="AA5" s="125"/>
    </row>
    <row r="6" s="24" customFormat="1" ht="42" customHeight="1" spans="1:27">
      <c r="A6" s="10"/>
      <c r="B6" s="10"/>
      <c r="C6" s="10"/>
      <c r="D6" s="10"/>
      <c r="E6" s="10"/>
      <c r="F6" s="10"/>
      <c r="G6" s="10"/>
      <c r="H6" s="10"/>
      <c r="I6" s="10"/>
      <c r="J6" s="10"/>
      <c r="K6" s="16"/>
      <c r="L6" s="55"/>
      <c r="M6" s="16" t="s">
        <v>31</v>
      </c>
      <c r="N6" s="16" t="s">
        <v>32</v>
      </c>
      <c r="O6" s="55"/>
      <c r="P6" s="55"/>
      <c r="Q6" s="60"/>
      <c r="R6" s="60"/>
      <c r="S6" s="60"/>
      <c r="T6" s="10"/>
      <c r="U6" s="10"/>
      <c r="V6" s="10"/>
      <c r="W6" s="60"/>
      <c r="X6" s="10"/>
      <c r="Y6" s="10"/>
      <c r="Z6" s="10"/>
      <c r="AA6" s="125"/>
    </row>
    <row r="7" s="98" customFormat="1" ht="43" customHeight="1" spans="1:27">
      <c r="A7" s="11" t="s">
        <v>33</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126"/>
    </row>
    <row r="8" s="99" customFormat="1" ht="43" customHeight="1" spans="1:27">
      <c r="A8" s="11" t="s">
        <v>34</v>
      </c>
      <c r="B8" s="104" t="s">
        <v>35</v>
      </c>
      <c r="C8" s="105"/>
      <c r="D8" s="106"/>
      <c r="E8" s="11"/>
      <c r="F8" s="11"/>
      <c r="G8" s="11"/>
      <c r="H8" s="11">
        <f>SUBTOTAL(9,H37,H66,H73,H79,H9,H85)</f>
        <v>105</v>
      </c>
      <c r="I8" s="117"/>
      <c r="J8" s="117">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123">
        <f t="shared" si="2"/>
        <v>0</v>
      </c>
      <c r="AA8" s="127"/>
    </row>
    <row r="9" s="99" customFormat="1" ht="43" customHeight="1" spans="1:27">
      <c r="A9" s="107" t="s">
        <v>36</v>
      </c>
      <c r="B9" s="108"/>
      <c r="C9" s="109"/>
      <c r="D9" s="106"/>
      <c r="E9" s="11"/>
      <c r="F9" s="11"/>
      <c r="G9" s="11"/>
      <c r="H9" s="11">
        <v>27</v>
      </c>
      <c r="I9" s="117"/>
      <c r="J9" s="117">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123"/>
      <c r="Y9" s="123"/>
      <c r="Z9" s="123"/>
      <c r="AA9" s="127"/>
    </row>
    <row r="10" s="100" customFormat="1" ht="228" customHeight="1" spans="1:27">
      <c r="A10" s="110">
        <v>1</v>
      </c>
      <c r="B10" s="110" t="s">
        <v>37</v>
      </c>
      <c r="C10" s="110" t="s">
        <v>38</v>
      </c>
      <c r="D10" s="110" t="s">
        <v>35</v>
      </c>
      <c r="E10" s="110" t="s">
        <v>39</v>
      </c>
      <c r="F10" s="110" t="s">
        <v>40</v>
      </c>
      <c r="G10" s="110" t="s">
        <v>41</v>
      </c>
      <c r="H10" s="111" t="s">
        <v>846</v>
      </c>
      <c r="I10" s="110" t="s">
        <v>43</v>
      </c>
      <c r="J10" s="110">
        <v>13988.5</v>
      </c>
      <c r="K10" s="118">
        <f t="shared" ref="K10:K36" si="4">SUM(L10,T10,U10,V10)</f>
        <v>559.54</v>
      </c>
      <c r="L10" s="118">
        <f t="shared" ref="L10:L36" si="5">SUM(M10:S10)</f>
        <v>559.54</v>
      </c>
      <c r="M10" s="118">
        <f>J10*0.04</f>
        <v>559.54</v>
      </c>
      <c r="N10" s="118"/>
      <c r="O10" s="118"/>
      <c r="P10" s="118"/>
      <c r="Q10" s="110"/>
      <c r="R10" s="110"/>
      <c r="S10" s="110"/>
      <c r="T10" s="110"/>
      <c r="U10" s="110"/>
      <c r="V10" s="110"/>
      <c r="W10" s="110">
        <v>15728</v>
      </c>
      <c r="X10" s="110" t="s">
        <v>847</v>
      </c>
      <c r="Y10" s="110" t="s">
        <v>848</v>
      </c>
      <c r="Z10" s="110" t="s">
        <v>47</v>
      </c>
      <c r="AA10" s="112" t="s">
        <v>849</v>
      </c>
    </row>
    <row r="11" s="100" customFormat="1" ht="222" customHeight="1" spans="1:27">
      <c r="A11" s="110">
        <v>2</v>
      </c>
      <c r="B11" s="110" t="s">
        <v>48</v>
      </c>
      <c r="C11" s="110" t="s">
        <v>49</v>
      </c>
      <c r="D11" s="110" t="s">
        <v>35</v>
      </c>
      <c r="E11" s="110" t="s">
        <v>39</v>
      </c>
      <c r="F11" s="110" t="s">
        <v>40</v>
      </c>
      <c r="G11" s="110" t="s">
        <v>50</v>
      </c>
      <c r="H11" s="111" t="s">
        <v>850</v>
      </c>
      <c r="I11" s="110" t="s">
        <v>43</v>
      </c>
      <c r="J11" s="110">
        <v>21835.6</v>
      </c>
      <c r="K11" s="118">
        <f t="shared" si="4"/>
        <v>873.424</v>
      </c>
      <c r="L11" s="118">
        <f t="shared" si="5"/>
        <v>873.424</v>
      </c>
      <c r="M11" s="118">
        <f>J11*0.04</f>
        <v>873.424</v>
      </c>
      <c r="N11" s="118"/>
      <c r="O11" s="118"/>
      <c r="P11" s="118"/>
      <c r="Q11" s="110"/>
      <c r="R11" s="110"/>
      <c r="S11" s="110"/>
      <c r="T11" s="110"/>
      <c r="U11" s="110"/>
      <c r="V11" s="110"/>
      <c r="W11" s="110">
        <v>18548</v>
      </c>
      <c r="X11" s="110" t="s">
        <v>847</v>
      </c>
      <c r="Y11" s="110" t="s">
        <v>848</v>
      </c>
      <c r="Z11" s="110" t="s">
        <v>47</v>
      </c>
      <c r="AA11" s="112" t="s">
        <v>849</v>
      </c>
    </row>
    <row r="12" s="100" customFormat="1" ht="265" customHeight="1" spans="1:27">
      <c r="A12" s="110">
        <v>3</v>
      </c>
      <c r="B12" s="110" t="s">
        <v>53</v>
      </c>
      <c r="C12" s="110" t="s">
        <v>54</v>
      </c>
      <c r="D12" s="110" t="s">
        <v>35</v>
      </c>
      <c r="E12" s="110" t="s">
        <v>39</v>
      </c>
      <c r="F12" s="110" t="s">
        <v>40</v>
      </c>
      <c r="G12" s="110" t="s">
        <v>55</v>
      </c>
      <c r="H12" s="111" t="s">
        <v>851</v>
      </c>
      <c r="I12" s="110" t="s">
        <v>43</v>
      </c>
      <c r="J12" s="110">
        <v>103024.24</v>
      </c>
      <c r="K12" s="118">
        <f t="shared" si="4"/>
        <v>978.73028</v>
      </c>
      <c r="L12" s="118">
        <f t="shared" si="5"/>
        <v>978.73028</v>
      </c>
      <c r="M12" s="118">
        <f>J12*0.0095</f>
        <v>978.73028</v>
      </c>
      <c r="N12" s="118"/>
      <c r="O12" s="118"/>
      <c r="P12" s="118"/>
      <c r="Q12" s="110"/>
      <c r="R12" s="110"/>
      <c r="S12" s="110"/>
      <c r="T12" s="110"/>
      <c r="U12" s="110"/>
      <c r="V12" s="110"/>
      <c r="W12" s="110">
        <v>53780</v>
      </c>
      <c r="X12" s="110" t="s">
        <v>847</v>
      </c>
      <c r="Y12" s="110" t="s">
        <v>848</v>
      </c>
      <c r="Z12" s="110" t="s">
        <v>47</v>
      </c>
      <c r="AA12" s="112" t="s">
        <v>849</v>
      </c>
    </row>
    <row r="13" s="100" customFormat="1" ht="187" customHeight="1" spans="1:27">
      <c r="A13" s="110">
        <v>4</v>
      </c>
      <c r="B13" s="110" t="s">
        <v>58</v>
      </c>
      <c r="C13" s="110" t="s">
        <v>59</v>
      </c>
      <c r="D13" s="110" t="s">
        <v>35</v>
      </c>
      <c r="E13" s="110" t="s">
        <v>39</v>
      </c>
      <c r="F13" s="110" t="s">
        <v>40</v>
      </c>
      <c r="G13" s="110" t="s">
        <v>60</v>
      </c>
      <c r="H13" s="111" t="s">
        <v>852</v>
      </c>
      <c r="I13" s="110" t="s">
        <v>43</v>
      </c>
      <c r="J13" s="110">
        <v>14029.47</v>
      </c>
      <c r="K13" s="118">
        <f t="shared" si="4"/>
        <v>133.279965</v>
      </c>
      <c r="L13" s="118">
        <f t="shared" si="5"/>
        <v>133.279965</v>
      </c>
      <c r="M13" s="118"/>
      <c r="N13" s="118">
        <f>J13*95/10000</f>
        <v>133.279965</v>
      </c>
      <c r="O13" s="118"/>
      <c r="P13" s="118"/>
      <c r="Q13" s="110"/>
      <c r="R13" s="110"/>
      <c r="S13" s="110"/>
      <c r="T13" s="110"/>
      <c r="U13" s="110"/>
      <c r="V13" s="110"/>
      <c r="W13" s="110">
        <v>6696</v>
      </c>
      <c r="X13" s="110" t="s">
        <v>847</v>
      </c>
      <c r="Y13" s="110" t="s">
        <v>848</v>
      </c>
      <c r="Z13" s="110" t="s">
        <v>47</v>
      </c>
      <c r="AA13" s="112" t="s">
        <v>63</v>
      </c>
    </row>
    <row r="14" s="100" customFormat="1" ht="277" customHeight="1" spans="1:27">
      <c r="A14" s="110">
        <v>5</v>
      </c>
      <c r="B14" s="110" t="s">
        <v>64</v>
      </c>
      <c r="C14" s="110" t="s">
        <v>65</v>
      </c>
      <c r="D14" s="110" t="s">
        <v>35</v>
      </c>
      <c r="E14" s="110" t="s">
        <v>39</v>
      </c>
      <c r="F14" s="110" t="s">
        <v>40</v>
      </c>
      <c r="G14" s="110" t="s">
        <v>66</v>
      </c>
      <c r="H14" s="111" t="s">
        <v>853</v>
      </c>
      <c r="I14" s="110" t="s">
        <v>43</v>
      </c>
      <c r="J14" s="110">
        <v>176653.98</v>
      </c>
      <c r="K14" s="118">
        <f t="shared" si="4"/>
        <v>4416.3495</v>
      </c>
      <c r="L14" s="118">
        <f t="shared" si="5"/>
        <v>4416.3495</v>
      </c>
      <c r="M14" s="118">
        <f>J14*0.025</f>
        <v>4416.3495</v>
      </c>
      <c r="N14" s="118"/>
      <c r="O14" s="118"/>
      <c r="P14" s="118"/>
      <c r="Q14" s="110"/>
      <c r="R14" s="110"/>
      <c r="S14" s="110"/>
      <c r="T14" s="110"/>
      <c r="U14" s="110"/>
      <c r="V14" s="110"/>
      <c r="W14" s="110">
        <v>62668</v>
      </c>
      <c r="X14" s="110" t="s">
        <v>847</v>
      </c>
      <c r="Y14" s="110" t="s">
        <v>848</v>
      </c>
      <c r="Z14" s="110" t="s">
        <v>47</v>
      </c>
      <c r="AA14" s="112" t="s">
        <v>63</v>
      </c>
    </row>
    <row r="15" s="100" customFormat="1" ht="181" customHeight="1" spans="1:27">
      <c r="A15" s="110">
        <v>6</v>
      </c>
      <c r="B15" s="110" t="s">
        <v>69</v>
      </c>
      <c r="C15" s="110" t="s">
        <v>76</v>
      </c>
      <c r="D15" s="110" t="s">
        <v>35</v>
      </c>
      <c r="E15" s="110" t="s">
        <v>39</v>
      </c>
      <c r="F15" s="110" t="s">
        <v>40</v>
      </c>
      <c r="G15" s="110" t="s">
        <v>77</v>
      </c>
      <c r="H15" s="111" t="s">
        <v>854</v>
      </c>
      <c r="I15" s="110" t="s">
        <v>43</v>
      </c>
      <c r="J15" s="110">
        <v>97317.16</v>
      </c>
      <c r="K15" s="118">
        <f t="shared" si="4"/>
        <v>1459.7574</v>
      </c>
      <c r="L15" s="118">
        <f t="shared" si="5"/>
        <v>1459.7574</v>
      </c>
      <c r="M15" s="118"/>
      <c r="N15" s="118">
        <f>J15*0.015</f>
        <v>1459.7574</v>
      </c>
      <c r="O15" s="118"/>
      <c r="P15" s="118"/>
      <c r="Q15" s="110"/>
      <c r="R15" s="110"/>
      <c r="S15" s="110"/>
      <c r="T15" s="110"/>
      <c r="U15" s="110"/>
      <c r="V15" s="110"/>
      <c r="W15" s="110">
        <v>46116</v>
      </c>
      <c r="X15" s="110" t="s">
        <v>855</v>
      </c>
      <c r="Y15" s="110" t="s">
        <v>856</v>
      </c>
      <c r="Z15" s="110" t="s">
        <v>82</v>
      </c>
      <c r="AA15" s="112" t="s">
        <v>857</v>
      </c>
    </row>
    <row r="16" s="100" customFormat="1" ht="184" customHeight="1" spans="1:27">
      <c r="A16" s="110">
        <v>7</v>
      </c>
      <c r="B16" s="110" t="s">
        <v>75</v>
      </c>
      <c r="C16" s="110" t="s">
        <v>84</v>
      </c>
      <c r="D16" s="110" t="s">
        <v>35</v>
      </c>
      <c r="E16" s="110" t="s">
        <v>39</v>
      </c>
      <c r="F16" s="110" t="s">
        <v>40</v>
      </c>
      <c r="G16" s="110" t="s">
        <v>85</v>
      </c>
      <c r="H16" s="111" t="s">
        <v>858</v>
      </c>
      <c r="I16" s="110" t="s">
        <v>43</v>
      </c>
      <c r="J16" s="110">
        <v>78751.45</v>
      </c>
      <c r="K16" s="118">
        <f t="shared" si="4"/>
        <v>1181.27175</v>
      </c>
      <c r="L16" s="118">
        <f t="shared" si="5"/>
        <v>1181.27175</v>
      </c>
      <c r="M16" s="118"/>
      <c r="N16" s="118">
        <f>J16*0.015</f>
        <v>1181.27175</v>
      </c>
      <c r="O16" s="118"/>
      <c r="P16" s="118"/>
      <c r="Q16" s="110"/>
      <c r="R16" s="110"/>
      <c r="S16" s="110"/>
      <c r="T16" s="110"/>
      <c r="U16" s="110"/>
      <c r="V16" s="110"/>
      <c r="W16" s="110">
        <v>37812</v>
      </c>
      <c r="X16" s="110" t="s">
        <v>855</v>
      </c>
      <c r="Y16" s="110" t="s">
        <v>856</v>
      </c>
      <c r="Z16" s="110" t="s">
        <v>82</v>
      </c>
      <c r="AA16" s="112" t="s">
        <v>857</v>
      </c>
    </row>
    <row r="17" s="100" customFormat="1" ht="178" customHeight="1" spans="1:27">
      <c r="A17" s="110">
        <v>8</v>
      </c>
      <c r="B17" s="110" t="s">
        <v>83</v>
      </c>
      <c r="C17" s="110" t="s">
        <v>89</v>
      </c>
      <c r="D17" s="110" t="s">
        <v>35</v>
      </c>
      <c r="E17" s="110" t="s">
        <v>39</v>
      </c>
      <c r="F17" s="110" t="s">
        <v>40</v>
      </c>
      <c r="G17" s="110" t="s">
        <v>859</v>
      </c>
      <c r="H17" s="111" t="s">
        <v>860</v>
      </c>
      <c r="I17" s="110" t="s">
        <v>43</v>
      </c>
      <c r="J17" s="110">
        <v>33378.3</v>
      </c>
      <c r="K17" s="118">
        <f t="shared" si="4"/>
        <v>100.1349</v>
      </c>
      <c r="L17" s="118">
        <f t="shared" si="5"/>
        <v>100.1349</v>
      </c>
      <c r="M17" s="118"/>
      <c r="N17" s="118">
        <f>J17*0.003</f>
        <v>100.1349</v>
      </c>
      <c r="O17" s="118"/>
      <c r="P17" s="118"/>
      <c r="Q17" s="110"/>
      <c r="R17" s="110"/>
      <c r="S17" s="110"/>
      <c r="T17" s="110"/>
      <c r="U17" s="110"/>
      <c r="V17" s="110"/>
      <c r="W17" s="110">
        <v>19544</v>
      </c>
      <c r="X17" s="110" t="s">
        <v>855</v>
      </c>
      <c r="Y17" s="110" t="s">
        <v>856</v>
      </c>
      <c r="Z17" s="110" t="s">
        <v>82</v>
      </c>
      <c r="AA17" s="112" t="s">
        <v>63</v>
      </c>
    </row>
    <row r="18" s="100" customFormat="1" ht="122" customHeight="1" spans="1:27">
      <c r="A18" s="110">
        <v>9</v>
      </c>
      <c r="B18" s="110" t="s">
        <v>88</v>
      </c>
      <c r="C18" s="110" t="s">
        <v>94</v>
      </c>
      <c r="D18" s="110" t="s">
        <v>35</v>
      </c>
      <c r="E18" s="110" t="s">
        <v>95</v>
      </c>
      <c r="F18" s="110" t="s">
        <v>40</v>
      </c>
      <c r="G18" s="110" t="s">
        <v>861</v>
      </c>
      <c r="H18" s="111" t="s">
        <v>862</v>
      </c>
      <c r="I18" s="110" t="s">
        <v>43</v>
      </c>
      <c r="J18" s="110">
        <v>3500.3</v>
      </c>
      <c r="K18" s="118">
        <f t="shared" si="4"/>
        <v>35.003</v>
      </c>
      <c r="L18" s="118">
        <f t="shared" si="5"/>
        <v>35.003</v>
      </c>
      <c r="M18" s="118"/>
      <c r="N18" s="118">
        <f>J18*0.01</f>
        <v>35.003</v>
      </c>
      <c r="O18" s="118"/>
      <c r="P18" s="118"/>
      <c r="Q18" s="110"/>
      <c r="R18" s="110"/>
      <c r="S18" s="110"/>
      <c r="T18" s="110"/>
      <c r="U18" s="110"/>
      <c r="V18" s="110"/>
      <c r="W18" s="110">
        <v>2432</v>
      </c>
      <c r="X18" s="110" t="s">
        <v>863</v>
      </c>
      <c r="Y18" s="110" t="s">
        <v>864</v>
      </c>
      <c r="Z18" s="110" t="s">
        <v>82</v>
      </c>
      <c r="AA18" s="112" t="s">
        <v>63</v>
      </c>
    </row>
    <row r="19" s="100" customFormat="1" ht="134" customHeight="1" spans="1:27">
      <c r="A19" s="110">
        <v>10</v>
      </c>
      <c r="B19" s="110" t="s">
        <v>93</v>
      </c>
      <c r="C19" s="110" t="s">
        <v>100</v>
      </c>
      <c r="D19" s="110" t="s">
        <v>35</v>
      </c>
      <c r="E19" s="110" t="s">
        <v>39</v>
      </c>
      <c r="F19" s="110" t="s">
        <v>40</v>
      </c>
      <c r="G19" s="110" t="s">
        <v>865</v>
      </c>
      <c r="H19" s="111" t="s">
        <v>866</v>
      </c>
      <c r="I19" s="110" t="s">
        <v>43</v>
      </c>
      <c r="J19" s="110">
        <v>6434.99</v>
      </c>
      <c r="K19" s="118">
        <f t="shared" si="4"/>
        <v>289.57455</v>
      </c>
      <c r="L19" s="118">
        <f t="shared" si="5"/>
        <v>289.57455</v>
      </c>
      <c r="M19" s="118"/>
      <c r="N19" s="118">
        <f>J19*0.045</f>
        <v>289.57455</v>
      </c>
      <c r="O19" s="118"/>
      <c r="P19" s="118"/>
      <c r="Q19" s="110"/>
      <c r="R19" s="110"/>
      <c r="S19" s="110"/>
      <c r="T19" s="110"/>
      <c r="U19" s="110"/>
      <c r="V19" s="110"/>
      <c r="W19" s="110">
        <v>15000</v>
      </c>
      <c r="X19" s="110" t="s">
        <v>369</v>
      </c>
      <c r="Y19" s="110" t="s">
        <v>370</v>
      </c>
      <c r="Z19" s="110" t="s">
        <v>104</v>
      </c>
      <c r="AA19" s="112" t="s">
        <v>63</v>
      </c>
    </row>
    <row r="20" s="100" customFormat="1" ht="90" customHeight="1" spans="1:27">
      <c r="A20" s="110">
        <v>11</v>
      </c>
      <c r="B20" s="110" t="s">
        <v>99</v>
      </c>
      <c r="C20" s="110" t="s">
        <v>867</v>
      </c>
      <c r="D20" s="110" t="s">
        <v>35</v>
      </c>
      <c r="E20" s="110" t="s">
        <v>39</v>
      </c>
      <c r="F20" s="110" t="s">
        <v>40</v>
      </c>
      <c r="G20" s="110" t="s">
        <v>868</v>
      </c>
      <c r="H20" s="111" t="s">
        <v>869</v>
      </c>
      <c r="I20" s="110" t="s">
        <v>43</v>
      </c>
      <c r="J20" s="110">
        <v>504.7</v>
      </c>
      <c r="K20" s="118">
        <f t="shared" si="4"/>
        <v>75.705</v>
      </c>
      <c r="L20" s="118">
        <f t="shared" si="5"/>
        <v>75.705</v>
      </c>
      <c r="M20" s="118"/>
      <c r="N20" s="118">
        <f>J20*0.15</f>
        <v>75.705</v>
      </c>
      <c r="O20" s="118"/>
      <c r="P20" s="118"/>
      <c r="Q20" s="110"/>
      <c r="R20" s="110"/>
      <c r="S20" s="110"/>
      <c r="T20" s="110"/>
      <c r="U20" s="110"/>
      <c r="V20" s="110"/>
      <c r="W20" s="110">
        <v>360</v>
      </c>
      <c r="X20" s="110" t="s">
        <v>369</v>
      </c>
      <c r="Y20" s="110" t="s">
        <v>370</v>
      </c>
      <c r="Z20" s="128" t="s">
        <v>104</v>
      </c>
      <c r="AA20" s="112" t="s">
        <v>63</v>
      </c>
    </row>
    <row r="21" s="100" customFormat="1" ht="144" customHeight="1" spans="1:27">
      <c r="A21" s="110">
        <v>12</v>
      </c>
      <c r="B21" s="110" t="s">
        <v>105</v>
      </c>
      <c r="C21" s="110" t="s">
        <v>106</v>
      </c>
      <c r="D21" s="110" t="s">
        <v>35</v>
      </c>
      <c r="E21" s="110" t="s">
        <v>39</v>
      </c>
      <c r="F21" s="110" t="s">
        <v>40</v>
      </c>
      <c r="G21" s="110" t="s">
        <v>870</v>
      </c>
      <c r="H21" s="111" t="s">
        <v>871</v>
      </c>
      <c r="I21" s="110" t="s">
        <v>43</v>
      </c>
      <c r="J21" s="110">
        <v>831.32</v>
      </c>
      <c r="K21" s="118">
        <f t="shared" si="4"/>
        <v>24.9396</v>
      </c>
      <c r="L21" s="118">
        <f t="shared" si="5"/>
        <v>24.9396</v>
      </c>
      <c r="M21" s="118"/>
      <c r="N21" s="118">
        <f>J21*0.03</f>
        <v>24.9396</v>
      </c>
      <c r="O21" s="118"/>
      <c r="P21" s="118"/>
      <c r="Q21" s="110"/>
      <c r="R21" s="110"/>
      <c r="S21" s="110"/>
      <c r="T21" s="110"/>
      <c r="U21" s="110"/>
      <c r="V21" s="110"/>
      <c r="W21" s="110">
        <v>4820</v>
      </c>
      <c r="X21" s="110" t="s">
        <v>369</v>
      </c>
      <c r="Y21" s="110" t="s">
        <v>370</v>
      </c>
      <c r="Z21" s="128" t="s">
        <v>104</v>
      </c>
      <c r="AA21" s="112" t="s">
        <v>63</v>
      </c>
    </row>
    <row r="22" s="100" customFormat="1" ht="184" customHeight="1" spans="1:27">
      <c r="A22" s="110">
        <v>13</v>
      </c>
      <c r="B22" s="110" t="s">
        <v>110</v>
      </c>
      <c r="C22" s="110" t="s">
        <v>111</v>
      </c>
      <c r="D22" s="110" t="s">
        <v>35</v>
      </c>
      <c r="E22" s="110" t="s">
        <v>39</v>
      </c>
      <c r="F22" s="110" t="s">
        <v>40</v>
      </c>
      <c r="G22" s="110" t="s">
        <v>872</v>
      </c>
      <c r="H22" s="111" t="s">
        <v>873</v>
      </c>
      <c r="I22" s="110" t="s">
        <v>43</v>
      </c>
      <c r="J22" s="110">
        <v>6503.41</v>
      </c>
      <c r="K22" s="118">
        <f t="shared" si="4"/>
        <v>650.341</v>
      </c>
      <c r="L22" s="118">
        <f t="shared" si="5"/>
        <v>650.341</v>
      </c>
      <c r="M22" s="118">
        <f>J22*0.1</f>
        <v>650.341</v>
      </c>
      <c r="N22" s="118"/>
      <c r="O22" s="118"/>
      <c r="P22" s="118"/>
      <c r="Q22" s="110"/>
      <c r="R22" s="110"/>
      <c r="S22" s="110"/>
      <c r="T22" s="110"/>
      <c r="U22" s="110"/>
      <c r="V22" s="110"/>
      <c r="W22" s="110">
        <v>56360</v>
      </c>
      <c r="X22" s="110" t="s">
        <v>369</v>
      </c>
      <c r="Y22" s="110" t="s">
        <v>370</v>
      </c>
      <c r="Z22" s="128" t="s">
        <v>104</v>
      </c>
      <c r="AA22" s="112" t="s">
        <v>63</v>
      </c>
    </row>
    <row r="23" s="100" customFormat="1" ht="173" customHeight="1" spans="1:27">
      <c r="A23" s="110">
        <v>14</v>
      </c>
      <c r="B23" s="110" t="s">
        <v>115</v>
      </c>
      <c r="C23" s="110" t="s">
        <v>116</v>
      </c>
      <c r="D23" s="110" t="s">
        <v>35</v>
      </c>
      <c r="E23" s="110" t="s">
        <v>71</v>
      </c>
      <c r="F23" s="110" t="s">
        <v>40</v>
      </c>
      <c r="G23" s="110" t="s">
        <v>874</v>
      </c>
      <c r="H23" s="111" t="s">
        <v>875</v>
      </c>
      <c r="I23" s="110" t="s">
        <v>119</v>
      </c>
      <c r="J23" s="110">
        <v>7386</v>
      </c>
      <c r="K23" s="118">
        <f t="shared" si="4"/>
        <v>2954.4</v>
      </c>
      <c r="L23" s="118">
        <f t="shared" si="5"/>
        <v>2954.4</v>
      </c>
      <c r="M23" s="118"/>
      <c r="N23" s="118">
        <f>J23*0.4</f>
        <v>2954.4</v>
      </c>
      <c r="O23" s="118"/>
      <c r="P23" s="118"/>
      <c r="Q23" s="110"/>
      <c r="R23" s="110"/>
      <c r="S23" s="110"/>
      <c r="T23" s="110"/>
      <c r="U23" s="110"/>
      <c r="V23" s="110"/>
      <c r="W23" s="110">
        <v>17052</v>
      </c>
      <c r="X23" s="110" t="s">
        <v>121</v>
      </c>
      <c r="Y23" s="129" t="s">
        <v>122</v>
      </c>
      <c r="Z23" s="128" t="s">
        <v>123</v>
      </c>
      <c r="AA23" s="112" t="s">
        <v>63</v>
      </c>
    </row>
    <row r="24" s="100" customFormat="1" ht="177" customHeight="1" spans="1:27">
      <c r="A24" s="110">
        <v>15</v>
      </c>
      <c r="B24" s="110" t="s">
        <v>124</v>
      </c>
      <c r="C24" s="110" t="s">
        <v>125</v>
      </c>
      <c r="D24" s="110" t="s">
        <v>35</v>
      </c>
      <c r="E24" s="110" t="s">
        <v>71</v>
      </c>
      <c r="F24" s="110" t="s">
        <v>40</v>
      </c>
      <c r="G24" s="110" t="s">
        <v>876</v>
      </c>
      <c r="H24" s="111" t="s">
        <v>877</v>
      </c>
      <c r="I24" s="110" t="s">
        <v>128</v>
      </c>
      <c r="J24" s="110">
        <v>28199</v>
      </c>
      <c r="K24" s="118">
        <f t="shared" si="4"/>
        <v>1127.96</v>
      </c>
      <c r="L24" s="118">
        <f t="shared" si="5"/>
        <v>1127.96</v>
      </c>
      <c r="M24" s="118"/>
      <c r="N24" s="118">
        <f>J24*0.04</f>
        <v>1127.96</v>
      </c>
      <c r="O24" s="118"/>
      <c r="P24" s="118"/>
      <c r="Q24" s="110"/>
      <c r="R24" s="110"/>
      <c r="S24" s="110"/>
      <c r="T24" s="110"/>
      <c r="U24" s="110"/>
      <c r="V24" s="110"/>
      <c r="W24" s="110">
        <v>20052</v>
      </c>
      <c r="X24" s="110" t="s">
        <v>121</v>
      </c>
      <c r="Y24" s="129" t="s">
        <v>122</v>
      </c>
      <c r="Z24" s="128" t="s">
        <v>123</v>
      </c>
      <c r="AA24" s="112" t="s">
        <v>63</v>
      </c>
    </row>
    <row r="25" s="100" customFormat="1" ht="187" customHeight="1" spans="1:27">
      <c r="A25" s="110">
        <v>16</v>
      </c>
      <c r="B25" s="110" t="s">
        <v>130</v>
      </c>
      <c r="C25" s="110" t="s">
        <v>131</v>
      </c>
      <c r="D25" s="110" t="s">
        <v>35</v>
      </c>
      <c r="E25" s="110" t="s">
        <v>71</v>
      </c>
      <c r="F25" s="110" t="s">
        <v>40</v>
      </c>
      <c r="G25" s="110" t="s">
        <v>878</v>
      </c>
      <c r="H25" s="111" t="s">
        <v>879</v>
      </c>
      <c r="I25" s="110" t="s">
        <v>119</v>
      </c>
      <c r="J25" s="110">
        <v>18282</v>
      </c>
      <c r="K25" s="118">
        <f t="shared" si="4"/>
        <v>5484.6</v>
      </c>
      <c r="L25" s="118">
        <f t="shared" si="5"/>
        <v>5484.6</v>
      </c>
      <c r="M25" s="118">
        <f>J25*0.3</f>
        <v>5484.6</v>
      </c>
      <c r="N25" s="118"/>
      <c r="O25" s="118"/>
      <c r="P25" s="118"/>
      <c r="Q25" s="110"/>
      <c r="R25" s="110"/>
      <c r="S25" s="110"/>
      <c r="T25" s="110"/>
      <c r="U25" s="110"/>
      <c r="V25" s="110"/>
      <c r="W25" s="110">
        <v>39960</v>
      </c>
      <c r="X25" s="110" t="s">
        <v>121</v>
      </c>
      <c r="Y25" s="129" t="s">
        <v>122</v>
      </c>
      <c r="Z25" s="128" t="s">
        <v>123</v>
      </c>
      <c r="AA25" s="112" t="s">
        <v>63</v>
      </c>
    </row>
    <row r="26" s="100" customFormat="1" ht="192" customHeight="1" spans="1:27">
      <c r="A26" s="110">
        <v>17</v>
      </c>
      <c r="B26" s="110" t="s">
        <v>135</v>
      </c>
      <c r="C26" s="110" t="s">
        <v>136</v>
      </c>
      <c r="D26" s="110" t="s">
        <v>35</v>
      </c>
      <c r="E26" s="110" t="s">
        <v>71</v>
      </c>
      <c r="F26" s="110" t="s">
        <v>40</v>
      </c>
      <c r="G26" s="110" t="s">
        <v>878</v>
      </c>
      <c r="H26" s="111" t="s">
        <v>880</v>
      </c>
      <c r="I26" s="110" t="s">
        <v>128</v>
      </c>
      <c r="J26" s="110">
        <v>102788</v>
      </c>
      <c r="K26" s="118">
        <f t="shared" si="4"/>
        <v>3083.64</v>
      </c>
      <c r="L26" s="118">
        <f t="shared" si="5"/>
        <v>3083.64</v>
      </c>
      <c r="M26" s="118">
        <f>J26*0.03</f>
        <v>3083.64</v>
      </c>
      <c r="N26" s="118"/>
      <c r="O26" s="118"/>
      <c r="P26" s="118"/>
      <c r="Q26" s="110"/>
      <c r="R26" s="110"/>
      <c r="S26" s="110"/>
      <c r="T26" s="110"/>
      <c r="U26" s="110"/>
      <c r="V26" s="110"/>
      <c r="W26" s="110">
        <v>62336</v>
      </c>
      <c r="X26" s="110" t="s">
        <v>121</v>
      </c>
      <c r="Y26" s="129" t="s">
        <v>122</v>
      </c>
      <c r="Z26" s="128" t="s">
        <v>123</v>
      </c>
      <c r="AA26" s="112" t="s">
        <v>63</v>
      </c>
    </row>
    <row r="27" s="100" customFormat="1" ht="167" customHeight="1" spans="1:27">
      <c r="A27" s="110">
        <v>18</v>
      </c>
      <c r="B27" s="110" t="s">
        <v>139</v>
      </c>
      <c r="C27" s="110" t="s">
        <v>140</v>
      </c>
      <c r="D27" s="110" t="s">
        <v>35</v>
      </c>
      <c r="E27" s="110" t="s">
        <v>71</v>
      </c>
      <c r="F27" s="110" t="s">
        <v>40</v>
      </c>
      <c r="G27" s="110" t="s">
        <v>881</v>
      </c>
      <c r="H27" s="111" t="s">
        <v>882</v>
      </c>
      <c r="I27" s="110" t="s">
        <v>143</v>
      </c>
      <c r="J27" s="110">
        <v>220982</v>
      </c>
      <c r="K27" s="118">
        <f t="shared" si="4"/>
        <v>220.982</v>
      </c>
      <c r="L27" s="118">
        <f t="shared" si="5"/>
        <v>220.982</v>
      </c>
      <c r="M27" s="118"/>
      <c r="N27" s="118">
        <f t="shared" ref="N27:N30" si="6">J27*0.001</f>
        <v>220.982</v>
      </c>
      <c r="O27" s="118"/>
      <c r="P27" s="118"/>
      <c r="Q27" s="110"/>
      <c r="R27" s="110"/>
      <c r="S27" s="110"/>
      <c r="T27" s="110"/>
      <c r="U27" s="110"/>
      <c r="V27" s="110"/>
      <c r="W27" s="110">
        <v>20210</v>
      </c>
      <c r="X27" s="110" t="s">
        <v>121</v>
      </c>
      <c r="Y27" s="129" t="s">
        <v>122</v>
      </c>
      <c r="Z27" s="128" t="s">
        <v>104</v>
      </c>
      <c r="AA27" s="112" t="s">
        <v>63</v>
      </c>
    </row>
    <row r="28" s="100" customFormat="1" ht="139" customHeight="1" spans="1:27">
      <c r="A28" s="110">
        <v>19</v>
      </c>
      <c r="B28" s="110" t="s">
        <v>145</v>
      </c>
      <c r="C28" s="110" t="s">
        <v>146</v>
      </c>
      <c r="D28" s="110" t="s">
        <v>35</v>
      </c>
      <c r="E28" s="110" t="s">
        <v>71</v>
      </c>
      <c r="F28" s="110" t="s">
        <v>40</v>
      </c>
      <c r="G28" s="110" t="s">
        <v>883</v>
      </c>
      <c r="H28" s="111" t="s">
        <v>884</v>
      </c>
      <c r="I28" s="110" t="s">
        <v>143</v>
      </c>
      <c r="J28" s="110">
        <v>37800</v>
      </c>
      <c r="K28" s="118">
        <f t="shared" si="4"/>
        <v>37.8</v>
      </c>
      <c r="L28" s="118">
        <f t="shared" si="5"/>
        <v>37.8</v>
      </c>
      <c r="M28" s="118"/>
      <c r="N28" s="118">
        <f t="shared" si="6"/>
        <v>37.8</v>
      </c>
      <c r="O28" s="118"/>
      <c r="P28" s="118"/>
      <c r="Q28" s="110"/>
      <c r="R28" s="110"/>
      <c r="S28" s="110"/>
      <c r="T28" s="110"/>
      <c r="U28" s="110"/>
      <c r="V28" s="110"/>
      <c r="W28" s="110">
        <v>3984</v>
      </c>
      <c r="X28" s="110" t="s">
        <v>121</v>
      </c>
      <c r="Y28" s="129" t="s">
        <v>122</v>
      </c>
      <c r="Z28" s="128" t="s">
        <v>104</v>
      </c>
      <c r="AA28" s="112" t="s">
        <v>63</v>
      </c>
    </row>
    <row r="29" s="100" customFormat="1" ht="142" customHeight="1" spans="1:27">
      <c r="A29" s="110">
        <v>20</v>
      </c>
      <c r="B29" s="110" t="s">
        <v>150</v>
      </c>
      <c r="C29" s="110" t="s">
        <v>151</v>
      </c>
      <c r="D29" s="110" t="s">
        <v>35</v>
      </c>
      <c r="E29" s="110" t="s">
        <v>71</v>
      </c>
      <c r="F29" s="110" t="s">
        <v>40</v>
      </c>
      <c r="G29" s="110" t="s">
        <v>885</v>
      </c>
      <c r="H29" s="111" t="s">
        <v>886</v>
      </c>
      <c r="I29" s="110" t="s">
        <v>143</v>
      </c>
      <c r="J29" s="110">
        <v>44766</v>
      </c>
      <c r="K29" s="118">
        <f t="shared" si="4"/>
        <v>44.766</v>
      </c>
      <c r="L29" s="118">
        <f t="shared" si="5"/>
        <v>44.766</v>
      </c>
      <c r="M29" s="118"/>
      <c r="N29" s="118">
        <f t="shared" si="6"/>
        <v>44.766</v>
      </c>
      <c r="O29" s="118"/>
      <c r="P29" s="118"/>
      <c r="Q29" s="110"/>
      <c r="R29" s="110"/>
      <c r="S29" s="110"/>
      <c r="T29" s="110"/>
      <c r="U29" s="110"/>
      <c r="V29" s="110"/>
      <c r="W29" s="110">
        <v>4444</v>
      </c>
      <c r="X29" s="110" t="s">
        <v>121</v>
      </c>
      <c r="Y29" s="129" t="s">
        <v>122</v>
      </c>
      <c r="Z29" s="128" t="s">
        <v>104</v>
      </c>
      <c r="AA29" s="112" t="s">
        <v>63</v>
      </c>
    </row>
    <row r="30" s="100" customFormat="1" ht="130" customHeight="1" spans="1:27">
      <c r="A30" s="110">
        <v>21</v>
      </c>
      <c r="B30" s="110" t="s">
        <v>155</v>
      </c>
      <c r="C30" s="110" t="s">
        <v>156</v>
      </c>
      <c r="D30" s="110" t="s">
        <v>35</v>
      </c>
      <c r="E30" s="110" t="s">
        <v>71</v>
      </c>
      <c r="F30" s="110" t="s">
        <v>40</v>
      </c>
      <c r="G30" s="110" t="s">
        <v>887</v>
      </c>
      <c r="H30" s="111" t="s">
        <v>888</v>
      </c>
      <c r="I30" s="110" t="s">
        <v>143</v>
      </c>
      <c r="J30" s="110">
        <v>92033</v>
      </c>
      <c r="K30" s="118">
        <f t="shared" si="4"/>
        <v>92.033</v>
      </c>
      <c r="L30" s="118">
        <f t="shared" si="5"/>
        <v>92.033</v>
      </c>
      <c r="M30" s="118"/>
      <c r="N30" s="118">
        <f t="shared" si="6"/>
        <v>92.033</v>
      </c>
      <c r="O30" s="118"/>
      <c r="P30" s="118"/>
      <c r="Q30" s="110"/>
      <c r="R30" s="110"/>
      <c r="S30" s="110"/>
      <c r="T30" s="110"/>
      <c r="U30" s="110"/>
      <c r="V30" s="110"/>
      <c r="W30" s="110">
        <v>5612</v>
      </c>
      <c r="X30" s="110" t="s">
        <v>121</v>
      </c>
      <c r="Y30" s="129" t="s">
        <v>122</v>
      </c>
      <c r="Z30" s="128" t="s">
        <v>104</v>
      </c>
      <c r="AA30" s="112" t="s">
        <v>63</v>
      </c>
    </row>
    <row r="31" s="100" customFormat="1" ht="134" customHeight="1" spans="1:27">
      <c r="A31" s="110">
        <v>22</v>
      </c>
      <c r="B31" s="110" t="s">
        <v>160</v>
      </c>
      <c r="C31" s="110" t="s">
        <v>161</v>
      </c>
      <c r="D31" s="110" t="s">
        <v>35</v>
      </c>
      <c r="E31" s="110" t="s">
        <v>71</v>
      </c>
      <c r="F31" s="110" t="s">
        <v>40</v>
      </c>
      <c r="G31" s="110" t="s">
        <v>889</v>
      </c>
      <c r="H31" s="111" t="s">
        <v>890</v>
      </c>
      <c r="I31" s="110" t="s">
        <v>164</v>
      </c>
      <c r="J31" s="110">
        <v>286</v>
      </c>
      <c r="K31" s="118">
        <f t="shared" si="4"/>
        <v>28.6</v>
      </c>
      <c r="L31" s="118">
        <f t="shared" si="5"/>
        <v>28.6</v>
      </c>
      <c r="M31" s="118"/>
      <c r="N31" s="118">
        <f t="shared" ref="N31:N33" si="7">J31*0.1</f>
        <v>28.6</v>
      </c>
      <c r="O31" s="118"/>
      <c r="P31" s="118"/>
      <c r="Q31" s="110"/>
      <c r="R31" s="110"/>
      <c r="S31" s="110"/>
      <c r="T31" s="110"/>
      <c r="U31" s="110"/>
      <c r="V31" s="110"/>
      <c r="W31" s="110">
        <v>1204</v>
      </c>
      <c r="X31" s="110" t="s">
        <v>121</v>
      </c>
      <c r="Y31" s="129" t="s">
        <v>122</v>
      </c>
      <c r="Z31" s="128" t="s">
        <v>123</v>
      </c>
      <c r="AA31" s="112" t="s">
        <v>63</v>
      </c>
    </row>
    <row r="32" s="100" customFormat="1" ht="125" customHeight="1" spans="1:27">
      <c r="A32" s="110">
        <v>23</v>
      </c>
      <c r="B32" s="110" t="s">
        <v>166</v>
      </c>
      <c r="C32" s="110" t="s">
        <v>167</v>
      </c>
      <c r="D32" s="110" t="s">
        <v>35</v>
      </c>
      <c r="E32" s="110" t="s">
        <v>71</v>
      </c>
      <c r="F32" s="110" t="s">
        <v>40</v>
      </c>
      <c r="G32" s="110" t="s">
        <v>891</v>
      </c>
      <c r="H32" s="111" t="s">
        <v>892</v>
      </c>
      <c r="I32" s="110" t="s">
        <v>164</v>
      </c>
      <c r="J32" s="110">
        <v>153</v>
      </c>
      <c r="K32" s="118">
        <f t="shared" si="4"/>
        <v>15.3</v>
      </c>
      <c r="L32" s="118">
        <f t="shared" si="5"/>
        <v>15.3</v>
      </c>
      <c r="M32" s="118"/>
      <c r="N32" s="118">
        <f t="shared" si="7"/>
        <v>15.3</v>
      </c>
      <c r="O32" s="118"/>
      <c r="P32" s="118"/>
      <c r="Q32" s="110"/>
      <c r="R32" s="110"/>
      <c r="S32" s="110"/>
      <c r="T32" s="110"/>
      <c r="U32" s="110"/>
      <c r="V32" s="110"/>
      <c r="W32" s="110">
        <v>544</v>
      </c>
      <c r="X32" s="110" t="s">
        <v>121</v>
      </c>
      <c r="Y32" s="129" t="s">
        <v>122</v>
      </c>
      <c r="Z32" s="128" t="s">
        <v>123</v>
      </c>
      <c r="AA32" s="112" t="s">
        <v>63</v>
      </c>
    </row>
    <row r="33" s="100" customFormat="1" ht="128" customHeight="1" spans="1:27">
      <c r="A33" s="110">
        <v>24</v>
      </c>
      <c r="B33" s="110" t="s">
        <v>171</v>
      </c>
      <c r="C33" s="110" t="s">
        <v>172</v>
      </c>
      <c r="D33" s="110" t="s">
        <v>35</v>
      </c>
      <c r="E33" s="110" t="s">
        <v>71</v>
      </c>
      <c r="F33" s="110" t="s">
        <v>40</v>
      </c>
      <c r="G33" s="110" t="s">
        <v>893</v>
      </c>
      <c r="H33" s="111" t="s">
        <v>894</v>
      </c>
      <c r="I33" s="110" t="s">
        <v>164</v>
      </c>
      <c r="J33" s="110">
        <v>2485</v>
      </c>
      <c r="K33" s="118">
        <f t="shared" si="4"/>
        <v>248.5</v>
      </c>
      <c r="L33" s="118">
        <f t="shared" si="5"/>
        <v>248.5</v>
      </c>
      <c r="M33" s="118"/>
      <c r="N33" s="118">
        <f t="shared" si="7"/>
        <v>248.5</v>
      </c>
      <c r="O33" s="118"/>
      <c r="P33" s="118"/>
      <c r="Q33" s="110"/>
      <c r="R33" s="110"/>
      <c r="S33" s="110"/>
      <c r="T33" s="110"/>
      <c r="U33" s="110"/>
      <c r="V33" s="110"/>
      <c r="W33" s="110">
        <v>9188</v>
      </c>
      <c r="X33" s="110" t="s">
        <v>121</v>
      </c>
      <c r="Y33" s="129" t="s">
        <v>122</v>
      </c>
      <c r="Z33" s="128" t="s">
        <v>123</v>
      </c>
      <c r="AA33" s="112" t="s">
        <v>63</v>
      </c>
    </row>
    <row r="34" s="100" customFormat="1" ht="150" customHeight="1" spans="1:27">
      <c r="A34" s="110">
        <v>25</v>
      </c>
      <c r="B34" s="110" t="s">
        <v>176</v>
      </c>
      <c r="C34" s="110" t="s">
        <v>177</v>
      </c>
      <c r="D34" s="110" t="s">
        <v>35</v>
      </c>
      <c r="E34" s="110" t="s">
        <v>71</v>
      </c>
      <c r="F34" s="110" t="s">
        <v>40</v>
      </c>
      <c r="G34" s="110" t="s">
        <v>178</v>
      </c>
      <c r="H34" s="111" t="s">
        <v>895</v>
      </c>
      <c r="I34" s="110" t="s">
        <v>180</v>
      </c>
      <c r="J34" s="110">
        <v>57472.1</v>
      </c>
      <c r="K34" s="118">
        <f t="shared" si="4"/>
        <v>287.3605</v>
      </c>
      <c r="L34" s="118">
        <f t="shared" si="5"/>
        <v>287.3605</v>
      </c>
      <c r="M34" s="118"/>
      <c r="N34" s="118">
        <f>J34*0.005</f>
        <v>287.3605</v>
      </c>
      <c r="O34" s="118"/>
      <c r="P34" s="118"/>
      <c r="Q34" s="110"/>
      <c r="R34" s="110"/>
      <c r="S34" s="110"/>
      <c r="T34" s="110"/>
      <c r="U34" s="110"/>
      <c r="V34" s="110"/>
      <c r="W34" s="110">
        <v>9468</v>
      </c>
      <c r="X34" s="110" t="s">
        <v>121</v>
      </c>
      <c r="Y34" s="129" t="s">
        <v>122</v>
      </c>
      <c r="Z34" s="128" t="s">
        <v>123</v>
      </c>
      <c r="AA34" s="112" t="s">
        <v>857</v>
      </c>
    </row>
    <row r="35" s="100" customFormat="1" ht="200" customHeight="1" spans="1:27">
      <c r="A35" s="110">
        <v>26</v>
      </c>
      <c r="B35" s="110" t="s">
        <v>182</v>
      </c>
      <c r="C35" s="110" t="s">
        <v>70</v>
      </c>
      <c r="D35" s="110" t="s">
        <v>35</v>
      </c>
      <c r="E35" s="110" t="s">
        <v>71</v>
      </c>
      <c r="F35" s="110" t="s">
        <v>40</v>
      </c>
      <c r="G35" s="110" t="s">
        <v>72</v>
      </c>
      <c r="H35" s="111" t="s">
        <v>896</v>
      </c>
      <c r="I35" s="110" t="s">
        <v>43</v>
      </c>
      <c r="J35" s="110">
        <v>140202.86</v>
      </c>
      <c r="K35" s="118">
        <f t="shared" si="4"/>
        <v>560.81144</v>
      </c>
      <c r="L35" s="118">
        <f t="shared" si="5"/>
        <v>560.81144</v>
      </c>
      <c r="M35" s="118"/>
      <c r="N35" s="118">
        <f>J35*0.004</f>
        <v>560.81144</v>
      </c>
      <c r="O35" s="118"/>
      <c r="P35" s="118"/>
      <c r="Q35" s="110"/>
      <c r="R35" s="110"/>
      <c r="S35" s="110"/>
      <c r="T35" s="110"/>
      <c r="U35" s="110"/>
      <c r="V35" s="110"/>
      <c r="W35" s="110">
        <v>63492</v>
      </c>
      <c r="X35" s="110" t="s">
        <v>847</v>
      </c>
      <c r="Y35" s="110" t="s">
        <v>848</v>
      </c>
      <c r="Z35" s="110" t="s">
        <v>47</v>
      </c>
      <c r="AA35" s="112" t="s">
        <v>63</v>
      </c>
    </row>
    <row r="36" s="100" customFormat="1" ht="100" customHeight="1" spans="1:27">
      <c r="A36" s="110">
        <v>27</v>
      </c>
      <c r="B36" s="110" t="s">
        <v>190</v>
      </c>
      <c r="C36" s="110" t="s">
        <v>183</v>
      </c>
      <c r="D36" s="110" t="s">
        <v>35</v>
      </c>
      <c r="E36" s="110" t="s">
        <v>184</v>
      </c>
      <c r="F36" s="112" t="s">
        <v>40</v>
      </c>
      <c r="G36" s="112" t="s">
        <v>819</v>
      </c>
      <c r="H36" s="113" t="s">
        <v>186</v>
      </c>
      <c r="I36" s="112" t="s">
        <v>187</v>
      </c>
      <c r="J36" s="112">
        <f>32673+10185</f>
        <v>42858</v>
      </c>
      <c r="K36" s="118">
        <f t="shared" si="4"/>
        <v>1000</v>
      </c>
      <c r="L36" s="118">
        <f t="shared" si="5"/>
        <v>1000</v>
      </c>
      <c r="M36" s="119">
        <v>1000</v>
      </c>
      <c r="N36" s="119"/>
      <c r="O36" s="119"/>
      <c r="P36" s="119"/>
      <c r="Q36" s="112"/>
      <c r="R36" s="112"/>
      <c r="S36" s="112"/>
      <c r="T36" s="112"/>
      <c r="U36" s="112"/>
      <c r="V36" s="112"/>
      <c r="W36" s="112">
        <v>9415</v>
      </c>
      <c r="X36" s="112" t="s">
        <v>80</v>
      </c>
      <c r="Y36" s="130" t="s">
        <v>81</v>
      </c>
      <c r="Z36" s="110"/>
      <c r="AA36" s="112" t="s">
        <v>63</v>
      </c>
    </row>
    <row r="37" s="101" customFormat="1" ht="43" customHeight="1" spans="1:27">
      <c r="A37" s="114" t="s">
        <v>189</v>
      </c>
      <c r="B37" s="114"/>
      <c r="C37" s="114"/>
      <c r="D37" s="115"/>
      <c r="E37" s="116"/>
      <c r="F37" s="116"/>
      <c r="G37" s="116"/>
      <c r="H37" s="116">
        <v>28</v>
      </c>
      <c r="I37" s="120"/>
      <c r="J37" s="120"/>
      <c r="K37" s="121">
        <f t="shared" ref="K37:V37" si="8">SUM(K38:K65)</f>
        <v>24792.246</v>
      </c>
      <c r="L37" s="121">
        <f t="shared" si="8"/>
        <v>24630.366</v>
      </c>
      <c r="M37" s="121">
        <f t="shared" si="8"/>
        <v>24630.366</v>
      </c>
      <c r="N37" s="121">
        <f t="shared" si="8"/>
        <v>0</v>
      </c>
      <c r="O37" s="121">
        <f t="shared" si="8"/>
        <v>0</v>
      </c>
      <c r="P37" s="121">
        <f t="shared" si="8"/>
        <v>0</v>
      </c>
      <c r="Q37" s="121">
        <f t="shared" si="8"/>
        <v>0</v>
      </c>
      <c r="R37" s="121">
        <f t="shared" si="8"/>
        <v>0</v>
      </c>
      <c r="S37" s="121">
        <f t="shared" si="8"/>
        <v>0</v>
      </c>
      <c r="T37" s="121">
        <f t="shared" si="8"/>
        <v>0</v>
      </c>
      <c r="U37" s="121">
        <f t="shared" si="8"/>
        <v>161.88</v>
      </c>
      <c r="V37" s="121">
        <f t="shared" si="8"/>
        <v>0</v>
      </c>
      <c r="W37" s="116"/>
      <c r="X37" s="124"/>
      <c r="Y37" s="124"/>
      <c r="Z37" s="124"/>
      <c r="AA37" s="131"/>
    </row>
    <row r="38" s="100" customFormat="1" ht="127.5" spans="1:27">
      <c r="A38" s="110">
        <v>28</v>
      </c>
      <c r="B38" s="110" t="s">
        <v>195</v>
      </c>
      <c r="C38" s="110" t="s">
        <v>191</v>
      </c>
      <c r="D38" s="110" t="s">
        <v>35</v>
      </c>
      <c r="E38" s="110" t="s">
        <v>39</v>
      </c>
      <c r="F38" s="110" t="s">
        <v>40</v>
      </c>
      <c r="G38" s="110" t="s">
        <v>192</v>
      </c>
      <c r="H38" s="111" t="s">
        <v>193</v>
      </c>
      <c r="I38" s="110" t="s">
        <v>43</v>
      </c>
      <c r="J38" s="110">
        <v>3500</v>
      </c>
      <c r="K38" s="118">
        <f t="shared" ref="K38:K65" si="9">SUM(L38,T38,U38,V38)</f>
        <v>630</v>
      </c>
      <c r="L38" s="118">
        <f t="shared" ref="L38:L65" si="10">SUM(M38:S38)</f>
        <v>630</v>
      </c>
      <c r="M38" s="118">
        <f t="shared" ref="M38:M53" si="11">J38*0.18</f>
        <v>630</v>
      </c>
      <c r="N38" s="118"/>
      <c r="O38" s="118"/>
      <c r="P38" s="118"/>
      <c r="Q38" s="110"/>
      <c r="R38" s="110"/>
      <c r="S38" s="110"/>
      <c r="T38" s="110"/>
      <c r="U38" s="110"/>
      <c r="V38" s="110"/>
      <c r="W38" s="110">
        <v>500</v>
      </c>
      <c r="X38" s="110" t="s">
        <v>855</v>
      </c>
      <c r="Y38" s="110" t="s">
        <v>856</v>
      </c>
      <c r="Z38" s="110"/>
      <c r="AA38" s="112" t="s">
        <v>63</v>
      </c>
    </row>
    <row r="39" s="100" customFormat="1" ht="127.5" spans="1:27">
      <c r="A39" s="110">
        <v>29</v>
      </c>
      <c r="B39" s="110" t="s">
        <v>200</v>
      </c>
      <c r="C39" s="110" t="s">
        <v>196</v>
      </c>
      <c r="D39" s="110" t="s">
        <v>35</v>
      </c>
      <c r="E39" s="110" t="s">
        <v>39</v>
      </c>
      <c r="F39" s="110" t="s">
        <v>40</v>
      </c>
      <c r="G39" s="110" t="s">
        <v>197</v>
      </c>
      <c r="H39" s="111" t="s">
        <v>198</v>
      </c>
      <c r="I39" s="110" t="s">
        <v>43</v>
      </c>
      <c r="J39" s="110">
        <v>5975.7</v>
      </c>
      <c r="K39" s="118">
        <f t="shared" si="9"/>
        <v>1075.626</v>
      </c>
      <c r="L39" s="118">
        <f t="shared" si="10"/>
        <v>1075.626</v>
      </c>
      <c r="M39" s="118">
        <f t="shared" si="11"/>
        <v>1075.626</v>
      </c>
      <c r="N39" s="118"/>
      <c r="O39" s="118"/>
      <c r="P39" s="118"/>
      <c r="Q39" s="110"/>
      <c r="R39" s="110"/>
      <c r="S39" s="110"/>
      <c r="T39" s="110"/>
      <c r="U39" s="110"/>
      <c r="V39" s="110"/>
      <c r="W39" s="110">
        <v>1500</v>
      </c>
      <c r="X39" s="110" t="s">
        <v>855</v>
      </c>
      <c r="Y39" s="110" t="s">
        <v>856</v>
      </c>
      <c r="Z39" s="110"/>
      <c r="AA39" s="112" t="s">
        <v>63</v>
      </c>
    </row>
    <row r="40" s="100" customFormat="1" ht="127.5" spans="1:27">
      <c r="A40" s="110">
        <v>30</v>
      </c>
      <c r="B40" s="110" t="s">
        <v>205</v>
      </c>
      <c r="C40" s="110" t="s">
        <v>201</v>
      </c>
      <c r="D40" s="110" t="s">
        <v>35</v>
      </c>
      <c r="E40" s="110" t="s">
        <v>39</v>
      </c>
      <c r="F40" s="110" t="s">
        <v>40</v>
      </c>
      <c r="G40" s="110" t="s">
        <v>202</v>
      </c>
      <c r="H40" s="111" t="s">
        <v>203</v>
      </c>
      <c r="I40" s="110" t="s">
        <v>43</v>
      </c>
      <c r="J40" s="110">
        <v>7600</v>
      </c>
      <c r="K40" s="118">
        <f t="shared" si="9"/>
        <v>1529.88</v>
      </c>
      <c r="L40" s="118">
        <f t="shared" si="10"/>
        <v>1368</v>
      </c>
      <c r="M40" s="118">
        <f t="shared" si="11"/>
        <v>1368</v>
      </c>
      <c r="N40" s="118"/>
      <c r="O40" s="118"/>
      <c r="P40" s="118"/>
      <c r="Q40" s="110"/>
      <c r="R40" s="110"/>
      <c r="S40" s="110"/>
      <c r="T40" s="110"/>
      <c r="U40" s="110">
        <f>94.88+67</f>
        <v>161.88</v>
      </c>
      <c r="V40" s="110"/>
      <c r="W40" s="110">
        <v>1600</v>
      </c>
      <c r="X40" s="110" t="s">
        <v>855</v>
      </c>
      <c r="Y40" s="110" t="s">
        <v>856</v>
      </c>
      <c r="Z40" s="110"/>
      <c r="AA40" s="112" t="s">
        <v>63</v>
      </c>
    </row>
    <row r="41" s="100" customFormat="1" ht="127.5" spans="1:27">
      <c r="A41" s="110">
        <v>31</v>
      </c>
      <c r="B41" s="110" t="s">
        <v>210</v>
      </c>
      <c r="C41" s="110" t="s">
        <v>206</v>
      </c>
      <c r="D41" s="110" t="s">
        <v>35</v>
      </c>
      <c r="E41" s="110" t="s">
        <v>39</v>
      </c>
      <c r="F41" s="110" t="s">
        <v>40</v>
      </c>
      <c r="G41" s="110" t="s">
        <v>207</v>
      </c>
      <c r="H41" s="111" t="s">
        <v>208</v>
      </c>
      <c r="I41" s="110" t="s">
        <v>43</v>
      </c>
      <c r="J41" s="110">
        <v>6560</v>
      </c>
      <c r="K41" s="118">
        <f t="shared" si="9"/>
        <v>1180.8</v>
      </c>
      <c r="L41" s="118">
        <f t="shared" si="10"/>
        <v>1180.8</v>
      </c>
      <c r="M41" s="118">
        <f t="shared" si="11"/>
        <v>1180.8</v>
      </c>
      <c r="N41" s="118"/>
      <c r="O41" s="118"/>
      <c r="P41" s="118"/>
      <c r="Q41" s="110"/>
      <c r="R41" s="110"/>
      <c r="S41" s="110"/>
      <c r="T41" s="110"/>
      <c r="U41" s="110"/>
      <c r="V41" s="110"/>
      <c r="W41" s="110">
        <v>700</v>
      </c>
      <c r="X41" s="110" t="s">
        <v>855</v>
      </c>
      <c r="Y41" s="110" t="s">
        <v>856</v>
      </c>
      <c r="Z41" s="110"/>
      <c r="AA41" s="112" t="s">
        <v>63</v>
      </c>
    </row>
    <row r="42" s="100" customFormat="1" ht="127.5" spans="1:27">
      <c r="A42" s="110">
        <v>32</v>
      </c>
      <c r="B42" s="110" t="s">
        <v>215</v>
      </c>
      <c r="C42" s="110" t="s">
        <v>211</v>
      </c>
      <c r="D42" s="110" t="s">
        <v>35</v>
      </c>
      <c r="E42" s="110" t="s">
        <v>39</v>
      </c>
      <c r="F42" s="110" t="s">
        <v>40</v>
      </c>
      <c r="G42" s="110" t="s">
        <v>212</v>
      </c>
      <c r="H42" s="111" t="s">
        <v>213</v>
      </c>
      <c r="I42" s="110" t="s">
        <v>43</v>
      </c>
      <c r="J42" s="110">
        <v>6937</v>
      </c>
      <c r="K42" s="118">
        <f t="shared" si="9"/>
        <v>1248.66</v>
      </c>
      <c r="L42" s="118">
        <f t="shared" si="10"/>
        <v>1248.66</v>
      </c>
      <c r="M42" s="118">
        <f t="shared" si="11"/>
        <v>1248.66</v>
      </c>
      <c r="N42" s="118"/>
      <c r="O42" s="118"/>
      <c r="P42" s="118"/>
      <c r="Q42" s="110"/>
      <c r="R42" s="110"/>
      <c r="S42" s="110"/>
      <c r="T42" s="110"/>
      <c r="U42" s="110"/>
      <c r="V42" s="110"/>
      <c r="W42" s="110">
        <v>1800</v>
      </c>
      <c r="X42" s="110" t="s">
        <v>855</v>
      </c>
      <c r="Y42" s="110" t="s">
        <v>856</v>
      </c>
      <c r="Z42" s="110"/>
      <c r="AA42" s="112" t="s">
        <v>63</v>
      </c>
    </row>
    <row r="43" s="100" customFormat="1" ht="127.5" spans="1:27">
      <c r="A43" s="110">
        <v>33</v>
      </c>
      <c r="B43" s="110" t="s">
        <v>220</v>
      </c>
      <c r="C43" s="110" t="s">
        <v>216</v>
      </c>
      <c r="D43" s="110" t="s">
        <v>35</v>
      </c>
      <c r="E43" s="110" t="s">
        <v>39</v>
      </c>
      <c r="F43" s="110" t="s">
        <v>40</v>
      </c>
      <c r="G43" s="110" t="s">
        <v>217</v>
      </c>
      <c r="H43" s="111" t="s">
        <v>218</v>
      </c>
      <c r="I43" s="110" t="s">
        <v>43</v>
      </c>
      <c r="J43" s="110">
        <v>1500</v>
      </c>
      <c r="K43" s="118">
        <f t="shared" si="9"/>
        <v>270</v>
      </c>
      <c r="L43" s="118">
        <f t="shared" si="10"/>
        <v>270</v>
      </c>
      <c r="M43" s="118">
        <f t="shared" si="11"/>
        <v>270</v>
      </c>
      <c r="N43" s="118"/>
      <c r="O43" s="118"/>
      <c r="P43" s="118"/>
      <c r="Q43" s="110"/>
      <c r="R43" s="110"/>
      <c r="S43" s="110"/>
      <c r="T43" s="110"/>
      <c r="U43" s="110"/>
      <c r="V43" s="110"/>
      <c r="W43" s="110">
        <v>600</v>
      </c>
      <c r="X43" s="110" t="s">
        <v>855</v>
      </c>
      <c r="Y43" s="110" t="s">
        <v>856</v>
      </c>
      <c r="Z43" s="110"/>
      <c r="AA43" s="112" t="s">
        <v>63</v>
      </c>
    </row>
    <row r="44" s="100" customFormat="1" ht="127.5" spans="1:27">
      <c r="A44" s="110">
        <v>34</v>
      </c>
      <c r="B44" s="110" t="s">
        <v>225</v>
      </c>
      <c r="C44" s="110" t="s">
        <v>221</v>
      </c>
      <c r="D44" s="110" t="s">
        <v>35</v>
      </c>
      <c r="E44" s="110" t="s">
        <v>39</v>
      </c>
      <c r="F44" s="110" t="s">
        <v>40</v>
      </c>
      <c r="G44" s="110" t="s">
        <v>222</v>
      </c>
      <c r="H44" s="111" t="s">
        <v>223</v>
      </c>
      <c r="I44" s="110" t="s">
        <v>43</v>
      </c>
      <c r="J44" s="110">
        <v>4900</v>
      </c>
      <c r="K44" s="118">
        <f t="shared" si="9"/>
        <v>882</v>
      </c>
      <c r="L44" s="118">
        <f t="shared" si="10"/>
        <v>882</v>
      </c>
      <c r="M44" s="118">
        <f t="shared" si="11"/>
        <v>882</v>
      </c>
      <c r="N44" s="118"/>
      <c r="O44" s="118"/>
      <c r="P44" s="118"/>
      <c r="Q44" s="110"/>
      <c r="R44" s="110"/>
      <c r="S44" s="110"/>
      <c r="T44" s="110"/>
      <c r="U44" s="110"/>
      <c r="V44" s="110"/>
      <c r="W44" s="110">
        <v>300</v>
      </c>
      <c r="X44" s="110" t="s">
        <v>855</v>
      </c>
      <c r="Y44" s="110" t="s">
        <v>856</v>
      </c>
      <c r="Z44" s="110"/>
      <c r="AA44" s="112" t="s">
        <v>63</v>
      </c>
    </row>
    <row r="45" s="100" customFormat="1" ht="127.5" spans="1:27">
      <c r="A45" s="110">
        <v>35</v>
      </c>
      <c r="B45" s="110" t="s">
        <v>230</v>
      </c>
      <c r="C45" s="110" t="s">
        <v>226</v>
      </c>
      <c r="D45" s="110" t="s">
        <v>35</v>
      </c>
      <c r="E45" s="110" t="s">
        <v>39</v>
      </c>
      <c r="F45" s="110" t="s">
        <v>40</v>
      </c>
      <c r="G45" s="110" t="s">
        <v>227</v>
      </c>
      <c r="H45" s="111" t="s">
        <v>228</v>
      </c>
      <c r="I45" s="110" t="s">
        <v>43</v>
      </c>
      <c r="J45" s="110">
        <v>7076</v>
      </c>
      <c r="K45" s="118">
        <f t="shared" si="9"/>
        <v>1273.68</v>
      </c>
      <c r="L45" s="118">
        <f t="shared" si="10"/>
        <v>1273.68</v>
      </c>
      <c r="M45" s="118">
        <f t="shared" si="11"/>
        <v>1273.68</v>
      </c>
      <c r="N45" s="118"/>
      <c r="O45" s="118"/>
      <c r="P45" s="118"/>
      <c r="Q45" s="110"/>
      <c r="R45" s="110"/>
      <c r="S45" s="110"/>
      <c r="T45" s="110"/>
      <c r="U45" s="110"/>
      <c r="V45" s="110"/>
      <c r="W45" s="110">
        <v>1700</v>
      </c>
      <c r="X45" s="110" t="s">
        <v>855</v>
      </c>
      <c r="Y45" s="110" t="s">
        <v>856</v>
      </c>
      <c r="Z45" s="110"/>
      <c r="AA45" s="112" t="s">
        <v>63</v>
      </c>
    </row>
    <row r="46" s="100" customFormat="1" ht="127.5" spans="1:27">
      <c r="A46" s="110">
        <v>36</v>
      </c>
      <c r="B46" s="110" t="s">
        <v>235</v>
      </c>
      <c r="C46" s="110" t="s">
        <v>231</v>
      </c>
      <c r="D46" s="110" t="s">
        <v>35</v>
      </c>
      <c r="E46" s="110" t="s">
        <v>39</v>
      </c>
      <c r="F46" s="110" t="s">
        <v>40</v>
      </c>
      <c r="G46" s="110" t="s">
        <v>232</v>
      </c>
      <c r="H46" s="111" t="s">
        <v>233</v>
      </c>
      <c r="I46" s="110" t="s">
        <v>43</v>
      </c>
      <c r="J46" s="110">
        <v>4870</v>
      </c>
      <c r="K46" s="118">
        <f t="shared" si="9"/>
        <v>876.6</v>
      </c>
      <c r="L46" s="118">
        <f t="shared" si="10"/>
        <v>876.6</v>
      </c>
      <c r="M46" s="118">
        <f t="shared" si="11"/>
        <v>876.6</v>
      </c>
      <c r="N46" s="118"/>
      <c r="O46" s="118"/>
      <c r="P46" s="118"/>
      <c r="Q46" s="110"/>
      <c r="R46" s="110"/>
      <c r="S46" s="110"/>
      <c r="T46" s="110"/>
      <c r="U46" s="110"/>
      <c r="V46" s="110"/>
      <c r="W46" s="110">
        <v>876</v>
      </c>
      <c r="X46" s="110" t="s">
        <v>855</v>
      </c>
      <c r="Y46" s="110" t="s">
        <v>856</v>
      </c>
      <c r="Z46" s="110"/>
      <c r="AA46" s="112" t="s">
        <v>63</v>
      </c>
    </row>
    <row r="47" s="100" customFormat="1" ht="127.5" spans="1:27">
      <c r="A47" s="110">
        <v>37</v>
      </c>
      <c r="B47" s="110" t="s">
        <v>240</v>
      </c>
      <c r="C47" s="110" t="s">
        <v>236</v>
      </c>
      <c r="D47" s="110" t="s">
        <v>35</v>
      </c>
      <c r="E47" s="110" t="s">
        <v>39</v>
      </c>
      <c r="F47" s="110" t="s">
        <v>40</v>
      </c>
      <c r="G47" s="110" t="s">
        <v>237</v>
      </c>
      <c r="H47" s="111" t="s">
        <v>238</v>
      </c>
      <c r="I47" s="110" t="s">
        <v>43</v>
      </c>
      <c r="J47" s="110">
        <v>4350</v>
      </c>
      <c r="K47" s="118">
        <f t="shared" si="9"/>
        <v>783</v>
      </c>
      <c r="L47" s="118">
        <f t="shared" si="10"/>
        <v>783</v>
      </c>
      <c r="M47" s="118">
        <f t="shared" si="11"/>
        <v>783</v>
      </c>
      <c r="N47" s="118"/>
      <c r="O47" s="118"/>
      <c r="P47" s="118"/>
      <c r="Q47" s="110"/>
      <c r="R47" s="110"/>
      <c r="S47" s="110"/>
      <c r="T47" s="110"/>
      <c r="U47" s="110"/>
      <c r="V47" s="110"/>
      <c r="W47" s="110">
        <v>243</v>
      </c>
      <c r="X47" s="110" t="s">
        <v>855</v>
      </c>
      <c r="Y47" s="110" t="s">
        <v>856</v>
      </c>
      <c r="Z47" s="110"/>
      <c r="AA47" s="112" t="s">
        <v>63</v>
      </c>
    </row>
    <row r="48" s="100" customFormat="1" ht="127.5" spans="1:27">
      <c r="A48" s="110">
        <v>38</v>
      </c>
      <c r="B48" s="110" t="s">
        <v>245</v>
      </c>
      <c r="C48" s="110" t="s">
        <v>241</v>
      </c>
      <c r="D48" s="110" t="s">
        <v>35</v>
      </c>
      <c r="E48" s="110" t="s">
        <v>39</v>
      </c>
      <c r="F48" s="110" t="s">
        <v>40</v>
      </c>
      <c r="G48" s="110" t="s">
        <v>242</v>
      </c>
      <c r="H48" s="111" t="s">
        <v>243</v>
      </c>
      <c r="I48" s="110" t="s">
        <v>43</v>
      </c>
      <c r="J48" s="110">
        <v>4868</v>
      </c>
      <c r="K48" s="118">
        <f t="shared" si="9"/>
        <v>876.24</v>
      </c>
      <c r="L48" s="118">
        <f t="shared" si="10"/>
        <v>876.24</v>
      </c>
      <c r="M48" s="118">
        <f t="shared" si="11"/>
        <v>876.24</v>
      </c>
      <c r="N48" s="118"/>
      <c r="O48" s="118"/>
      <c r="P48" s="118"/>
      <c r="Q48" s="110"/>
      <c r="R48" s="110"/>
      <c r="S48" s="110"/>
      <c r="T48" s="110"/>
      <c r="U48" s="110"/>
      <c r="V48" s="110"/>
      <c r="W48" s="110">
        <v>516</v>
      </c>
      <c r="X48" s="110" t="s">
        <v>855</v>
      </c>
      <c r="Y48" s="110" t="s">
        <v>856</v>
      </c>
      <c r="Z48" s="110"/>
      <c r="AA48" s="112" t="s">
        <v>63</v>
      </c>
    </row>
    <row r="49" s="100" customFormat="1" ht="127.5" spans="1:27">
      <c r="A49" s="110">
        <v>39</v>
      </c>
      <c r="B49" s="110" t="s">
        <v>250</v>
      </c>
      <c r="C49" s="110" t="s">
        <v>246</v>
      </c>
      <c r="D49" s="110" t="s">
        <v>35</v>
      </c>
      <c r="E49" s="110" t="s">
        <v>39</v>
      </c>
      <c r="F49" s="110" t="s">
        <v>40</v>
      </c>
      <c r="G49" s="110" t="s">
        <v>247</v>
      </c>
      <c r="H49" s="111" t="s">
        <v>248</v>
      </c>
      <c r="I49" s="110" t="s">
        <v>43</v>
      </c>
      <c r="J49" s="110">
        <v>4770</v>
      </c>
      <c r="K49" s="118">
        <f t="shared" si="9"/>
        <v>858.6</v>
      </c>
      <c r="L49" s="118">
        <f t="shared" si="10"/>
        <v>858.6</v>
      </c>
      <c r="M49" s="118">
        <f t="shared" si="11"/>
        <v>858.6</v>
      </c>
      <c r="N49" s="118"/>
      <c r="O49" s="118"/>
      <c r="P49" s="118"/>
      <c r="Q49" s="110"/>
      <c r="R49" s="110"/>
      <c r="S49" s="110"/>
      <c r="T49" s="110"/>
      <c r="U49" s="110"/>
      <c r="V49" s="110"/>
      <c r="W49" s="110">
        <v>858</v>
      </c>
      <c r="X49" s="110" t="s">
        <v>855</v>
      </c>
      <c r="Y49" s="110" t="s">
        <v>856</v>
      </c>
      <c r="Z49" s="110"/>
      <c r="AA49" s="112" t="s">
        <v>63</v>
      </c>
    </row>
    <row r="50" s="100" customFormat="1" ht="127.5" spans="1:27">
      <c r="A50" s="110">
        <v>40</v>
      </c>
      <c r="B50" s="110" t="s">
        <v>255</v>
      </c>
      <c r="C50" s="110" t="s">
        <v>251</v>
      </c>
      <c r="D50" s="110" t="s">
        <v>35</v>
      </c>
      <c r="E50" s="110" t="s">
        <v>39</v>
      </c>
      <c r="F50" s="110" t="s">
        <v>40</v>
      </c>
      <c r="G50" s="110" t="s">
        <v>252</v>
      </c>
      <c r="H50" s="111" t="s">
        <v>253</v>
      </c>
      <c r="I50" s="110" t="s">
        <v>43</v>
      </c>
      <c r="J50" s="110">
        <v>4987</v>
      </c>
      <c r="K50" s="118">
        <f t="shared" si="9"/>
        <v>897.66</v>
      </c>
      <c r="L50" s="118">
        <f t="shared" si="10"/>
        <v>897.66</v>
      </c>
      <c r="M50" s="118">
        <f t="shared" si="11"/>
        <v>897.66</v>
      </c>
      <c r="N50" s="118"/>
      <c r="O50" s="118"/>
      <c r="P50" s="118"/>
      <c r="Q50" s="110"/>
      <c r="R50" s="110"/>
      <c r="S50" s="110"/>
      <c r="T50" s="110"/>
      <c r="U50" s="110"/>
      <c r="V50" s="110"/>
      <c r="W50" s="110">
        <v>900</v>
      </c>
      <c r="X50" s="110" t="s">
        <v>855</v>
      </c>
      <c r="Y50" s="110" t="s">
        <v>856</v>
      </c>
      <c r="Z50" s="110"/>
      <c r="AA50" s="112" t="s">
        <v>63</v>
      </c>
    </row>
    <row r="51" s="100" customFormat="1" ht="127.5" spans="1:27">
      <c r="A51" s="110">
        <v>41</v>
      </c>
      <c r="B51" s="110" t="s">
        <v>260</v>
      </c>
      <c r="C51" s="110" t="s">
        <v>256</v>
      </c>
      <c r="D51" s="110" t="s">
        <v>35</v>
      </c>
      <c r="E51" s="110" t="s">
        <v>39</v>
      </c>
      <c r="F51" s="110" t="s">
        <v>40</v>
      </c>
      <c r="G51" s="110" t="s">
        <v>257</v>
      </c>
      <c r="H51" s="111" t="s">
        <v>258</v>
      </c>
      <c r="I51" s="110" t="s">
        <v>43</v>
      </c>
      <c r="J51" s="110">
        <v>6115</v>
      </c>
      <c r="K51" s="118">
        <f t="shared" si="9"/>
        <v>1100.7</v>
      </c>
      <c r="L51" s="118">
        <f t="shared" si="10"/>
        <v>1100.7</v>
      </c>
      <c r="M51" s="118">
        <f t="shared" si="11"/>
        <v>1100.7</v>
      </c>
      <c r="N51" s="118"/>
      <c r="O51" s="118"/>
      <c r="P51" s="118"/>
      <c r="Q51" s="110"/>
      <c r="R51" s="110"/>
      <c r="S51" s="110"/>
      <c r="T51" s="110"/>
      <c r="U51" s="110"/>
      <c r="V51" s="110"/>
      <c r="W51" s="110">
        <v>1100</v>
      </c>
      <c r="X51" s="110" t="s">
        <v>855</v>
      </c>
      <c r="Y51" s="110" t="s">
        <v>856</v>
      </c>
      <c r="Z51" s="110"/>
      <c r="AA51" s="112" t="s">
        <v>63</v>
      </c>
    </row>
    <row r="52" s="100" customFormat="1" ht="127.5" spans="1:27">
      <c r="A52" s="110">
        <v>42</v>
      </c>
      <c r="B52" s="110" t="s">
        <v>265</v>
      </c>
      <c r="C52" s="110" t="s">
        <v>261</v>
      </c>
      <c r="D52" s="110" t="s">
        <v>35</v>
      </c>
      <c r="E52" s="110" t="s">
        <v>39</v>
      </c>
      <c r="F52" s="110" t="s">
        <v>40</v>
      </c>
      <c r="G52" s="110" t="s">
        <v>262</v>
      </c>
      <c r="H52" s="111" t="s">
        <v>263</v>
      </c>
      <c r="I52" s="110" t="s">
        <v>43</v>
      </c>
      <c r="J52" s="110">
        <v>14640</v>
      </c>
      <c r="K52" s="118">
        <f t="shared" si="9"/>
        <v>2635.2</v>
      </c>
      <c r="L52" s="118">
        <f t="shared" si="10"/>
        <v>2635.2</v>
      </c>
      <c r="M52" s="118">
        <f t="shared" si="11"/>
        <v>2635.2</v>
      </c>
      <c r="N52" s="118"/>
      <c r="O52" s="118"/>
      <c r="P52" s="118"/>
      <c r="Q52" s="110"/>
      <c r="R52" s="110"/>
      <c r="S52" s="110"/>
      <c r="T52" s="110"/>
      <c r="U52" s="110"/>
      <c r="V52" s="110"/>
      <c r="W52" s="110">
        <v>2635</v>
      </c>
      <c r="X52" s="110" t="s">
        <v>855</v>
      </c>
      <c r="Y52" s="110" t="s">
        <v>856</v>
      </c>
      <c r="Z52" s="110"/>
      <c r="AA52" s="112" t="s">
        <v>63</v>
      </c>
    </row>
    <row r="53" s="100" customFormat="1" ht="127.5" spans="1:27">
      <c r="A53" s="110">
        <v>43</v>
      </c>
      <c r="B53" s="110" t="s">
        <v>270</v>
      </c>
      <c r="C53" s="110" t="s">
        <v>266</v>
      </c>
      <c r="D53" s="110" t="s">
        <v>35</v>
      </c>
      <c r="E53" s="110" t="s">
        <v>39</v>
      </c>
      <c r="F53" s="110" t="s">
        <v>40</v>
      </c>
      <c r="G53" s="110" t="s">
        <v>267</v>
      </c>
      <c r="H53" s="111" t="s">
        <v>268</v>
      </c>
      <c r="I53" s="110" t="s">
        <v>43</v>
      </c>
      <c r="J53" s="110">
        <v>2450</v>
      </c>
      <c r="K53" s="118">
        <f t="shared" si="9"/>
        <v>441</v>
      </c>
      <c r="L53" s="118">
        <f t="shared" si="10"/>
        <v>441</v>
      </c>
      <c r="M53" s="118">
        <f t="shared" si="11"/>
        <v>441</v>
      </c>
      <c r="N53" s="118"/>
      <c r="O53" s="118"/>
      <c r="P53" s="118"/>
      <c r="Q53" s="110"/>
      <c r="R53" s="110"/>
      <c r="S53" s="110"/>
      <c r="T53" s="110"/>
      <c r="U53" s="110"/>
      <c r="V53" s="110"/>
      <c r="W53" s="110">
        <v>441</v>
      </c>
      <c r="X53" s="110" t="s">
        <v>855</v>
      </c>
      <c r="Y53" s="110" t="s">
        <v>856</v>
      </c>
      <c r="Z53" s="110"/>
      <c r="AA53" s="112" t="s">
        <v>63</v>
      </c>
    </row>
    <row r="54" s="100" customFormat="1" ht="57" customHeight="1" spans="1:27">
      <c r="A54" s="110">
        <v>44</v>
      </c>
      <c r="B54" s="110" t="s">
        <v>274</v>
      </c>
      <c r="C54" s="110" t="s">
        <v>271</v>
      </c>
      <c r="D54" s="110" t="s">
        <v>35</v>
      </c>
      <c r="E54" s="110" t="s">
        <v>39</v>
      </c>
      <c r="F54" s="110" t="s">
        <v>40</v>
      </c>
      <c r="G54" s="110" t="s">
        <v>197</v>
      </c>
      <c r="H54" s="111" t="s">
        <v>272</v>
      </c>
      <c r="I54" s="110" t="s">
        <v>43</v>
      </c>
      <c r="J54" s="110">
        <v>2755</v>
      </c>
      <c r="K54" s="118">
        <f t="shared" si="9"/>
        <v>413.25</v>
      </c>
      <c r="L54" s="118">
        <f t="shared" si="10"/>
        <v>413.25</v>
      </c>
      <c r="M54" s="118">
        <f t="shared" ref="M54:M56" si="12">J54*0.15</f>
        <v>413.25</v>
      </c>
      <c r="N54" s="118"/>
      <c r="O54" s="118"/>
      <c r="P54" s="118"/>
      <c r="Q54" s="110"/>
      <c r="R54" s="110"/>
      <c r="S54" s="110"/>
      <c r="T54" s="110"/>
      <c r="U54" s="110"/>
      <c r="V54" s="110"/>
      <c r="W54" s="110">
        <v>1500</v>
      </c>
      <c r="X54" s="110" t="s">
        <v>855</v>
      </c>
      <c r="Y54" s="110" t="s">
        <v>856</v>
      </c>
      <c r="Z54" s="110"/>
      <c r="AA54" s="112" t="s">
        <v>63</v>
      </c>
    </row>
    <row r="55" s="100" customFormat="1" ht="127.5" spans="1:27">
      <c r="A55" s="110">
        <v>45</v>
      </c>
      <c r="B55" s="110" t="s">
        <v>278</v>
      </c>
      <c r="C55" s="110" t="s">
        <v>275</v>
      </c>
      <c r="D55" s="110" t="s">
        <v>35</v>
      </c>
      <c r="E55" s="110" t="s">
        <v>39</v>
      </c>
      <c r="F55" s="110" t="s">
        <v>40</v>
      </c>
      <c r="G55" s="110" t="s">
        <v>202</v>
      </c>
      <c r="H55" s="111" t="s">
        <v>276</v>
      </c>
      <c r="I55" s="110" t="s">
        <v>43</v>
      </c>
      <c r="J55" s="110">
        <v>5000</v>
      </c>
      <c r="K55" s="118">
        <f t="shared" si="9"/>
        <v>750</v>
      </c>
      <c r="L55" s="118">
        <f t="shared" si="10"/>
        <v>750</v>
      </c>
      <c r="M55" s="118">
        <f t="shared" si="12"/>
        <v>750</v>
      </c>
      <c r="N55" s="118"/>
      <c r="O55" s="118"/>
      <c r="P55" s="118"/>
      <c r="Q55" s="110"/>
      <c r="R55" s="110"/>
      <c r="S55" s="110"/>
      <c r="T55" s="110"/>
      <c r="U55" s="110"/>
      <c r="V55" s="110"/>
      <c r="W55" s="110">
        <v>3200</v>
      </c>
      <c r="X55" s="110" t="s">
        <v>855</v>
      </c>
      <c r="Y55" s="110" t="s">
        <v>856</v>
      </c>
      <c r="Z55" s="110"/>
      <c r="AA55" s="112" t="s">
        <v>63</v>
      </c>
    </row>
    <row r="56" s="100" customFormat="1" ht="127.5" spans="1:27">
      <c r="A56" s="110">
        <v>46</v>
      </c>
      <c r="B56" s="110" t="s">
        <v>282</v>
      </c>
      <c r="C56" s="110" t="s">
        <v>279</v>
      </c>
      <c r="D56" s="110" t="s">
        <v>35</v>
      </c>
      <c r="E56" s="110" t="s">
        <v>39</v>
      </c>
      <c r="F56" s="110" t="s">
        <v>40</v>
      </c>
      <c r="G56" s="110" t="s">
        <v>212</v>
      </c>
      <c r="H56" s="111" t="s">
        <v>280</v>
      </c>
      <c r="I56" s="110" t="s">
        <v>43</v>
      </c>
      <c r="J56" s="110">
        <v>6000</v>
      </c>
      <c r="K56" s="118">
        <f t="shared" si="9"/>
        <v>900</v>
      </c>
      <c r="L56" s="118">
        <f t="shared" si="10"/>
        <v>900</v>
      </c>
      <c r="M56" s="118">
        <f t="shared" si="12"/>
        <v>900</v>
      </c>
      <c r="N56" s="118"/>
      <c r="O56" s="118"/>
      <c r="P56" s="118"/>
      <c r="Q56" s="110"/>
      <c r="R56" s="110"/>
      <c r="S56" s="110"/>
      <c r="T56" s="110"/>
      <c r="U56" s="110"/>
      <c r="V56" s="110"/>
      <c r="W56" s="110">
        <v>3200</v>
      </c>
      <c r="X56" s="110" t="s">
        <v>855</v>
      </c>
      <c r="Y56" s="110" t="s">
        <v>856</v>
      </c>
      <c r="Z56" s="110"/>
      <c r="AA56" s="112" t="s">
        <v>63</v>
      </c>
    </row>
    <row r="57" s="100" customFormat="1" ht="127.5" spans="1:27">
      <c r="A57" s="110">
        <v>47</v>
      </c>
      <c r="B57" s="110" t="s">
        <v>287</v>
      </c>
      <c r="C57" s="110" t="s">
        <v>283</v>
      </c>
      <c r="D57" s="110" t="s">
        <v>35</v>
      </c>
      <c r="E57" s="110" t="s">
        <v>39</v>
      </c>
      <c r="F57" s="110" t="s">
        <v>40</v>
      </c>
      <c r="G57" s="110" t="s">
        <v>284</v>
      </c>
      <c r="H57" s="111" t="s">
        <v>285</v>
      </c>
      <c r="I57" s="110" t="s">
        <v>43</v>
      </c>
      <c r="J57" s="110">
        <v>280</v>
      </c>
      <c r="K57" s="118">
        <f t="shared" si="9"/>
        <v>42</v>
      </c>
      <c r="L57" s="118">
        <f t="shared" si="10"/>
        <v>42</v>
      </c>
      <c r="M57" s="118">
        <v>42</v>
      </c>
      <c r="N57" s="118"/>
      <c r="O57" s="118"/>
      <c r="P57" s="118"/>
      <c r="Q57" s="110"/>
      <c r="R57" s="110"/>
      <c r="S57" s="110"/>
      <c r="T57" s="110"/>
      <c r="U57" s="110"/>
      <c r="V57" s="110"/>
      <c r="W57" s="110">
        <v>280</v>
      </c>
      <c r="X57" s="110" t="s">
        <v>855</v>
      </c>
      <c r="Y57" s="110" t="s">
        <v>856</v>
      </c>
      <c r="Z57" s="110"/>
      <c r="AA57" s="112" t="s">
        <v>63</v>
      </c>
    </row>
    <row r="58" s="100" customFormat="1" ht="127.5" spans="1:27">
      <c r="A58" s="110">
        <v>48</v>
      </c>
      <c r="B58" s="110" t="s">
        <v>291</v>
      </c>
      <c r="C58" s="110" t="s">
        <v>288</v>
      </c>
      <c r="D58" s="110" t="s">
        <v>35</v>
      </c>
      <c r="E58" s="110" t="s">
        <v>39</v>
      </c>
      <c r="F58" s="110" t="s">
        <v>40</v>
      </c>
      <c r="G58" s="110" t="s">
        <v>217</v>
      </c>
      <c r="H58" s="111" t="s">
        <v>289</v>
      </c>
      <c r="I58" s="110" t="s">
        <v>43</v>
      </c>
      <c r="J58" s="110">
        <v>1500</v>
      </c>
      <c r="K58" s="118">
        <f t="shared" si="9"/>
        <v>225</v>
      </c>
      <c r="L58" s="118">
        <f t="shared" si="10"/>
        <v>225</v>
      </c>
      <c r="M58" s="118">
        <v>225</v>
      </c>
      <c r="N58" s="118"/>
      <c r="O58" s="118"/>
      <c r="P58" s="118"/>
      <c r="Q58" s="110"/>
      <c r="R58" s="110"/>
      <c r="S58" s="110"/>
      <c r="T58" s="110"/>
      <c r="U58" s="110"/>
      <c r="V58" s="110"/>
      <c r="W58" s="110">
        <v>1500</v>
      </c>
      <c r="X58" s="110" t="s">
        <v>855</v>
      </c>
      <c r="Y58" s="110" t="s">
        <v>856</v>
      </c>
      <c r="Z58" s="110"/>
      <c r="AA58" s="112" t="s">
        <v>63</v>
      </c>
    </row>
    <row r="59" s="100" customFormat="1" ht="127.5" spans="1:27">
      <c r="A59" s="110">
        <v>49</v>
      </c>
      <c r="B59" s="110" t="s">
        <v>295</v>
      </c>
      <c r="C59" s="110" t="s">
        <v>292</v>
      </c>
      <c r="D59" s="110" t="s">
        <v>35</v>
      </c>
      <c r="E59" s="110" t="s">
        <v>39</v>
      </c>
      <c r="F59" s="110" t="s">
        <v>40</v>
      </c>
      <c r="G59" s="110" t="s">
        <v>227</v>
      </c>
      <c r="H59" s="111" t="s">
        <v>293</v>
      </c>
      <c r="I59" s="110" t="s">
        <v>43</v>
      </c>
      <c r="J59" s="110">
        <v>3970</v>
      </c>
      <c r="K59" s="118">
        <f t="shared" si="9"/>
        <v>595.5</v>
      </c>
      <c r="L59" s="118">
        <f t="shared" si="10"/>
        <v>595.5</v>
      </c>
      <c r="M59" s="118">
        <v>595.5</v>
      </c>
      <c r="N59" s="118"/>
      <c r="O59" s="118"/>
      <c r="P59" s="118"/>
      <c r="Q59" s="110"/>
      <c r="R59" s="110"/>
      <c r="S59" s="110"/>
      <c r="T59" s="110"/>
      <c r="U59" s="110"/>
      <c r="V59" s="110"/>
      <c r="W59" s="110">
        <v>3970</v>
      </c>
      <c r="X59" s="110" t="s">
        <v>855</v>
      </c>
      <c r="Y59" s="110" t="s">
        <v>856</v>
      </c>
      <c r="Z59" s="110"/>
      <c r="AA59" s="112" t="s">
        <v>63</v>
      </c>
    </row>
    <row r="60" s="100" customFormat="1" ht="127.5" spans="1:27">
      <c r="A60" s="110">
        <v>50</v>
      </c>
      <c r="B60" s="110" t="s">
        <v>299</v>
      </c>
      <c r="C60" s="110" t="s">
        <v>296</v>
      </c>
      <c r="D60" s="110" t="s">
        <v>35</v>
      </c>
      <c r="E60" s="110" t="s">
        <v>39</v>
      </c>
      <c r="F60" s="110" t="s">
        <v>40</v>
      </c>
      <c r="G60" s="110" t="s">
        <v>232</v>
      </c>
      <c r="H60" s="111" t="s">
        <v>897</v>
      </c>
      <c r="I60" s="110" t="s">
        <v>43</v>
      </c>
      <c r="J60" s="110">
        <v>10850</v>
      </c>
      <c r="K60" s="118">
        <v>1627.5</v>
      </c>
      <c r="L60" s="118">
        <v>1627.5</v>
      </c>
      <c r="M60" s="118">
        <v>1627.5</v>
      </c>
      <c r="N60" s="118"/>
      <c r="O60" s="118"/>
      <c r="P60" s="118"/>
      <c r="Q60" s="110"/>
      <c r="R60" s="110"/>
      <c r="S60" s="110"/>
      <c r="T60" s="110"/>
      <c r="U60" s="110"/>
      <c r="V60" s="110"/>
      <c r="W60" s="110">
        <v>12000</v>
      </c>
      <c r="X60" s="110" t="s">
        <v>855</v>
      </c>
      <c r="Y60" s="110" t="s">
        <v>856</v>
      </c>
      <c r="Z60" s="110"/>
      <c r="AA60" s="112" t="s">
        <v>849</v>
      </c>
    </row>
    <row r="61" s="100" customFormat="1" ht="127.5" spans="1:27">
      <c r="A61" s="110">
        <v>51</v>
      </c>
      <c r="B61" s="110" t="s">
        <v>303</v>
      </c>
      <c r="C61" s="110" t="s">
        <v>300</v>
      </c>
      <c r="D61" s="110" t="s">
        <v>35</v>
      </c>
      <c r="E61" s="110" t="s">
        <v>39</v>
      </c>
      <c r="F61" s="110" t="s">
        <v>40</v>
      </c>
      <c r="G61" s="110" t="s">
        <v>247</v>
      </c>
      <c r="H61" s="111" t="s">
        <v>898</v>
      </c>
      <c r="I61" s="110" t="s">
        <v>43</v>
      </c>
      <c r="J61" s="110">
        <v>6765</v>
      </c>
      <c r="K61" s="118">
        <f t="shared" si="9"/>
        <v>1014.75</v>
      </c>
      <c r="L61" s="118">
        <f t="shared" si="10"/>
        <v>1014.75</v>
      </c>
      <c r="M61" s="118">
        <v>1014.75</v>
      </c>
      <c r="N61" s="118"/>
      <c r="O61" s="118"/>
      <c r="P61" s="118"/>
      <c r="Q61" s="110"/>
      <c r="R61" s="110"/>
      <c r="S61" s="110"/>
      <c r="T61" s="110"/>
      <c r="U61" s="110"/>
      <c r="V61" s="110"/>
      <c r="W61" s="110">
        <v>6765</v>
      </c>
      <c r="X61" s="110" t="s">
        <v>855</v>
      </c>
      <c r="Y61" s="110" t="s">
        <v>856</v>
      </c>
      <c r="Z61" s="110"/>
      <c r="AA61" s="112" t="s">
        <v>63</v>
      </c>
    </row>
    <row r="62" s="100" customFormat="1" ht="127.5" spans="1:27">
      <c r="A62" s="110">
        <v>52</v>
      </c>
      <c r="B62" s="110" t="s">
        <v>307</v>
      </c>
      <c r="C62" s="110" t="s">
        <v>304</v>
      </c>
      <c r="D62" s="110" t="s">
        <v>35</v>
      </c>
      <c r="E62" s="110" t="s">
        <v>39</v>
      </c>
      <c r="F62" s="110" t="s">
        <v>40</v>
      </c>
      <c r="G62" s="110" t="s">
        <v>252</v>
      </c>
      <c r="H62" s="111" t="s">
        <v>305</v>
      </c>
      <c r="I62" s="110" t="s">
        <v>43</v>
      </c>
      <c r="J62" s="110">
        <v>3504</v>
      </c>
      <c r="K62" s="118">
        <f t="shared" si="9"/>
        <v>525.6</v>
      </c>
      <c r="L62" s="118">
        <f t="shared" si="10"/>
        <v>525.6</v>
      </c>
      <c r="M62" s="118">
        <v>525.6</v>
      </c>
      <c r="N62" s="118"/>
      <c r="O62" s="118"/>
      <c r="P62" s="118"/>
      <c r="Q62" s="110"/>
      <c r="R62" s="110"/>
      <c r="S62" s="110"/>
      <c r="T62" s="110"/>
      <c r="U62" s="110"/>
      <c r="V62" s="110"/>
      <c r="W62" s="110">
        <v>3504</v>
      </c>
      <c r="X62" s="110" t="s">
        <v>855</v>
      </c>
      <c r="Y62" s="110" t="s">
        <v>856</v>
      </c>
      <c r="Z62" s="110"/>
      <c r="AA62" s="112" t="s">
        <v>63</v>
      </c>
    </row>
    <row r="63" s="100" customFormat="1" ht="127.5" spans="1:27">
      <c r="A63" s="110">
        <v>53</v>
      </c>
      <c r="B63" s="110" t="s">
        <v>311</v>
      </c>
      <c r="C63" s="110" t="s">
        <v>308</v>
      </c>
      <c r="D63" s="110" t="s">
        <v>35</v>
      </c>
      <c r="E63" s="110" t="s">
        <v>39</v>
      </c>
      <c r="F63" s="110" t="s">
        <v>40</v>
      </c>
      <c r="G63" s="110" t="s">
        <v>257</v>
      </c>
      <c r="H63" s="111" t="s">
        <v>309</v>
      </c>
      <c r="I63" s="110" t="s">
        <v>43</v>
      </c>
      <c r="J63" s="110">
        <v>2150</v>
      </c>
      <c r="K63" s="118">
        <f t="shared" si="9"/>
        <v>322.5</v>
      </c>
      <c r="L63" s="118">
        <f t="shared" si="10"/>
        <v>322.5</v>
      </c>
      <c r="M63" s="118">
        <v>322.5</v>
      </c>
      <c r="N63" s="118"/>
      <c r="O63" s="118"/>
      <c r="P63" s="118"/>
      <c r="Q63" s="110"/>
      <c r="R63" s="110"/>
      <c r="S63" s="110"/>
      <c r="T63" s="110"/>
      <c r="U63" s="110"/>
      <c r="V63" s="110"/>
      <c r="W63" s="110">
        <v>1000</v>
      </c>
      <c r="X63" s="110" t="s">
        <v>855</v>
      </c>
      <c r="Y63" s="110" t="s">
        <v>856</v>
      </c>
      <c r="Z63" s="110"/>
      <c r="AA63" s="112" t="s">
        <v>63</v>
      </c>
    </row>
    <row r="64" s="100" customFormat="1" ht="127.5" spans="1:27">
      <c r="A64" s="110">
        <v>54</v>
      </c>
      <c r="B64" s="110" t="s">
        <v>315</v>
      </c>
      <c r="C64" s="110" t="s">
        <v>312</v>
      </c>
      <c r="D64" s="110" t="s">
        <v>35</v>
      </c>
      <c r="E64" s="110" t="s">
        <v>39</v>
      </c>
      <c r="F64" s="110" t="s">
        <v>40</v>
      </c>
      <c r="G64" s="110" t="s">
        <v>262</v>
      </c>
      <c r="H64" s="111" t="s">
        <v>313</v>
      </c>
      <c r="I64" s="110" t="s">
        <v>43</v>
      </c>
      <c r="J64" s="110">
        <v>8000</v>
      </c>
      <c r="K64" s="118">
        <f t="shared" si="9"/>
        <v>1200</v>
      </c>
      <c r="L64" s="118">
        <f t="shared" si="10"/>
        <v>1200</v>
      </c>
      <c r="M64" s="118">
        <f>J64*0.15</f>
        <v>1200</v>
      </c>
      <c r="N64" s="118"/>
      <c r="O64" s="118"/>
      <c r="P64" s="118"/>
      <c r="Q64" s="110"/>
      <c r="R64" s="110"/>
      <c r="S64" s="110"/>
      <c r="T64" s="110"/>
      <c r="U64" s="110"/>
      <c r="V64" s="110"/>
      <c r="W64" s="110">
        <v>2670</v>
      </c>
      <c r="X64" s="110" t="s">
        <v>855</v>
      </c>
      <c r="Y64" s="110" t="s">
        <v>856</v>
      </c>
      <c r="Z64" s="110"/>
      <c r="AA64" s="112" t="s">
        <v>63</v>
      </c>
    </row>
    <row r="65" s="100" customFormat="1" ht="127.5" spans="1:27">
      <c r="A65" s="110">
        <v>55</v>
      </c>
      <c r="B65" s="110" t="s">
        <v>320</v>
      </c>
      <c r="C65" s="110" t="s">
        <v>316</v>
      </c>
      <c r="D65" s="110" t="s">
        <v>35</v>
      </c>
      <c r="E65" s="110" t="s">
        <v>39</v>
      </c>
      <c r="F65" s="110" t="s">
        <v>40</v>
      </c>
      <c r="G65" s="110" t="s">
        <v>267</v>
      </c>
      <c r="H65" s="111" t="s">
        <v>317</v>
      </c>
      <c r="I65" s="110" t="s">
        <v>43</v>
      </c>
      <c r="J65" s="110">
        <v>4110</v>
      </c>
      <c r="K65" s="118">
        <f t="shared" si="9"/>
        <v>616.5</v>
      </c>
      <c r="L65" s="118">
        <f t="shared" si="10"/>
        <v>616.5</v>
      </c>
      <c r="M65" s="118">
        <v>616.5</v>
      </c>
      <c r="N65" s="118"/>
      <c r="O65" s="118"/>
      <c r="P65" s="118"/>
      <c r="Q65" s="110"/>
      <c r="R65" s="110"/>
      <c r="S65" s="110"/>
      <c r="T65" s="110"/>
      <c r="U65" s="110"/>
      <c r="V65" s="110"/>
      <c r="W65" s="110">
        <v>4110</v>
      </c>
      <c r="X65" s="110" t="s">
        <v>855</v>
      </c>
      <c r="Y65" s="110" t="s">
        <v>856</v>
      </c>
      <c r="Z65" s="110"/>
      <c r="AA65" s="112" t="s">
        <v>63</v>
      </c>
    </row>
    <row r="66" s="101" customFormat="1" ht="43" customHeight="1" spans="1:27">
      <c r="A66" s="114" t="s">
        <v>319</v>
      </c>
      <c r="B66" s="114"/>
      <c r="C66" s="114"/>
      <c r="D66" s="115"/>
      <c r="E66" s="116"/>
      <c r="F66" s="116"/>
      <c r="G66" s="116"/>
      <c r="H66" s="116">
        <v>6</v>
      </c>
      <c r="I66" s="120"/>
      <c r="J66" s="120"/>
      <c r="K66" s="121">
        <f t="shared" ref="K66:M66" si="13">SUM(K67:K72)</f>
        <v>7490.35</v>
      </c>
      <c r="L66" s="121">
        <f t="shared" si="13"/>
        <v>7490.35</v>
      </c>
      <c r="M66" s="121">
        <f t="shared" si="13"/>
        <v>7405.35</v>
      </c>
      <c r="N66" s="121">
        <f t="shared" ref="N66:V66" si="14">SUM(N68:N72)</f>
        <v>0</v>
      </c>
      <c r="O66" s="121">
        <f t="shared" si="14"/>
        <v>0</v>
      </c>
      <c r="P66" s="121">
        <f t="shared" si="14"/>
        <v>0</v>
      </c>
      <c r="Q66" s="121">
        <f t="shared" si="14"/>
        <v>0</v>
      </c>
      <c r="R66" s="121">
        <f t="shared" si="14"/>
        <v>85</v>
      </c>
      <c r="S66" s="121">
        <f t="shared" si="14"/>
        <v>0</v>
      </c>
      <c r="T66" s="121">
        <f t="shared" si="14"/>
        <v>0</v>
      </c>
      <c r="U66" s="121">
        <f t="shared" si="14"/>
        <v>0</v>
      </c>
      <c r="V66" s="121">
        <f t="shared" si="14"/>
        <v>0</v>
      </c>
      <c r="W66" s="116"/>
      <c r="X66" s="124"/>
      <c r="Y66" s="124"/>
      <c r="Z66" s="124"/>
      <c r="AA66" s="131"/>
    </row>
    <row r="67" s="100" customFormat="1" ht="87" customHeight="1" spans="1:27">
      <c r="A67" s="110">
        <v>56</v>
      </c>
      <c r="B67" s="110" t="s">
        <v>324</v>
      </c>
      <c r="C67" s="110" t="s">
        <v>899</v>
      </c>
      <c r="D67" s="110" t="s">
        <v>35</v>
      </c>
      <c r="E67" s="110" t="s">
        <v>39</v>
      </c>
      <c r="F67" s="110" t="s">
        <v>40</v>
      </c>
      <c r="G67" s="110" t="s">
        <v>202</v>
      </c>
      <c r="H67" s="111" t="s">
        <v>322</v>
      </c>
      <c r="I67" s="110" t="s">
        <v>43</v>
      </c>
      <c r="J67" s="110">
        <v>600</v>
      </c>
      <c r="K67" s="118">
        <f t="shared" ref="K67:K72" si="15">SUM(L67,T67,U67,V67)</f>
        <v>120</v>
      </c>
      <c r="L67" s="118">
        <f t="shared" ref="L67:L72" si="16">SUM(M67:S67)</f>
        <v>120</v>
      </c>
      <c r="M67" s="118">
        <v>120</v>
      </c>
      <c r="N67" s="118"/>
      <c r="O67" s="118"/>
      <c r="P67" s="118"/>
      <c r="Q67" s="110"/>
      <c r="R67" s="110"/>
      <c r="S67" s="110"/>
      <c r="T67" s="110"/>
      <c r="U67" s="110"/>
      <c r="V67" s="110"/>
      <c r="W67" s="110">
        <v>3500</v>
      </c>
      <c r="X67" s="110" t="s">
        <v>847</v>
      </c>
      <c r="Y67" s="110" t="s">
        <v>848</v>
      </c>
      <c r="Z67" s="110"/>
      <c r="AA67" s="112" t="s">
        <v>63</v>
      </c>
    </row>
    <row r="68" s="100" customFormat="1" ht="152" customHeight="1" spans="1:27">
      <c r="A68" s="110">
        <v>57</v>
      </c>
      <c r="B68" s="110" t="s">
        <v>329</v>
      </c>
      <c r="C68" s="110" t="s">
        <v>330</v>
      </c>
      <c r="D68" s="110" t="s">
        <v>35</v>
      </c>
      <c r="E68" s="110" t="s">
        <v>39</v>
      </c>
      <c r="F68" s="110" t="s">
        <v>40</v>
      </c>
      <c r="G68" s="110" t="s">
        <v>331</v>
      </c>
      <c r="H68" s="111" t="s">
        <v>332</v>
      </c>
      <c r="I68" s="110" t="s">
        <v>333</v>
      </c>
      <c r="J68" s="110">
        <v>6.6</v>
      </c>
      <c r="K68" s="118">
        <f t="shared" si="15"/>
        <v>528</v>
      </c>
      <c r="L68" s="118">
        <f t="shared" si="16"/>
        <v>528</v>
      </c>
      <c r="M68" s="118">
        <v>528</v>
      </c>
      <c r="N68" s="118"/>
      <c r="O68" s="118"/>
      <c r="P68" s="118"/>
      <c r="Q68" s="110"/>
      <c r="R68" s="110"/>
      <c r="S68" s="110"/>
      <c r="T68" s="110"/>
      <c r="U68" s="110"/>
      <c r="V68" s="110"/>
      <c r="W68" s="110">
        <v>120000</v>
      </c>
      <c r="X68" s="110" t="s">
        <v>847</v>
      </c>
      <c r="Y68" s="110" t="s">
        <v>848</v>
      </c>
      <c r="Z68" s="110"/>
      <c r="AA68" s="112" t="s">
        <v>849</v>
      </c>
    </row>
    <row r="69" s="100" customFormat="1" ht="152" customHeight="1" spans="1:27">
      <c r="A69" s="110">
        <v>58</v>
      </c>
      <c r="B69" s="110" t="s">
        <v>335</v>
      </c>
      <c r="C69" s="110" t="s">
        <v>336</v>
      </c>
      <c r="D69" s="110" t="s">
        <v>35</v>
      </c>
      <c r="E69" s="110" t="s">
        <v>39</v>
      </c>
      <c r="F69" s="110" t="s">
        <v>40</v>
      </c>
      <c r="G69" s="110" t="s">
        <v>337</v>
      </c>
      <c r="H69" s="111" t="s">
        <v>338</v>
      </c>
      <c r="I69" s="110" t="s">
        <v>43</v>
      </c>
      <c r="J69" s="110">
        <f>32698+1400</f>
        <v>34098</v>
      </c>
      <c r="K69" s="118">
        <f t="shared" si="15"/>
        <v>2557.35</v>
      </c>
      <c r="L69" s="118">
        <f t="shared" si="16"/>
        <v>2557.35</v>
      </c>
      <c r="M69" s="118">
        <f>J69*0.075</f>
        <v>2557.35</v>
      </c>
      <c r="N69" s="118"/>
      <c r="O69" s="118"/>
      <c r="P69" s="118"/>
      <c r="Q69" s="110"/>
      <c r="R69" s="110"/>
      <c r="S69" s="110"/>
      <c r="T69" s="110"/>
      <c r="U69" s="110"/>
      <c r="V69" s="110"/>
      <c r="W69" s="110">
        <v>32698</v>
      </c>
      <c r="X69" s="110" t="s">
        <v>847</v>
      </c>
      <c r="Y69" s="110" t="s">
        <v>848</v>
      </c>
      <c r="Z69" s="110"/>
      <c r="AA69" s="112" t="s">
        <v>849</v>
      </c>
    </row>
    <row r="70" s="100" customFormat="1" ht="118" customHeight="1" spans="1:27">
      <c r="A70" s="110">
        <v>59</v>
      </c>
      <c r="B70" s="110" t="s">
        <v>339</v>
      </c>
      <c r="C70" s="110" t="s">
        <v>340</v>
      </c>
      <c r="D70" s="110" t="s">
        <v>35</v>
      </c>
      <c r="E70" s="110" t="s">
        <v>39</v>
      </c>
      <c r="F70" s="110" t="s">
        <v>40</v>
      </c>
      <c r="G70" s="110" t="s">
        <v>341</v>
      </c>
      <c r="H70" s="113" t="s">
        <v>342</v>
      </c>
      <c r="I70" s="112" t="s">
        <v>43</v>
      </c>
      <c r="J70" s="110">
        <v>280</v>
      </c>
      <c r="K70" s="118">
        <f t="shared" si="15"/>
        <v>85</v>
      </c>
      <c r="L70" s="118">
        <f t="shared" si="16"/>
        <v>85</v>
      </c>
      <c r="M70" s="118"/>
      <c r="N70" s="134"/>
      <c r="O70" s="118"/>
      <c r="P70" s="118"/>
      <c r="Q70" s="110"/>
      <c r="R70" s="110">
        <v>85</v>
      </c>
      <c r="S70" s="110"/>
      <c r="T70" s="110"/>
      <c r="U70" s="110"/>
      <c r="V70" s="110"/>
      <c r="W70" s="110">
        <v>280</v>
      </c>
      <c r="X70" s="110" t="s">
        <v>847</v>
      </c>
      <c r="Y70" s="110" t="s">
        <v>848</v>
      </c>
      <c r="Z70" s="110"/>
      <c r="AA70" s="112" t="s">
        <v>63</v>
      </c>
    </row>
    <row r="71" s="100" customFormat="1" ht="83" customHeight="1" spans="1:27">
      <c r="A71" s="110">
        <v>60</v>
      </c>
      <c r="B71" s="110" t="s">
        <v>344</v>
      </c>
      <c r="C71" s="110" t="s">
        <v>345</v>
      </c>
      <c r="D71" s="110" t="s">
        <v>35</v>
      </c>
      <c r="E71" s="110" t="s">
        <v>39</v>
      </c>
      <c r="F71" s="110" t="s">
        <v>40</v>
      </c>
      <c r="G71" s="110" t="s">
        <v>819</v>
      </c>
      <c r="H71" s="111" t="s">
        <v>346</v>
      </c>
      <c r="I71" s="110" t="s">
        <v>333</v>
      </c>
      <c r="J71" s="110">
        <v>60</v>
      </c>
      <c r="K71" s="118">
        <f t="shared" si="15"/>
        <v>1800</v>
      </c>
      <c r="L71" s="118">
        <f t="shared" si="16"/>
        <v>1800</v>
      </c>
      <c r="M71" s="118">
        <v>1800</v>
      </c>
      <c r="N71" s="118"/>
      <c r="O71" s="118"/>
      <c r="P71" s="118"/>
      <c r="Q71" s="110"/>
      <c r="R71" s="110"/>
      <c r="S71" s="110"/>
      <c r="T71" s="110"/>
      <c r="U71" s="110"/>
      <c r="V71" s="110"/>
      <c r="W71" s="110">
        <v>420000</v>
      </c>
      <c r="X71" s="110" t="s">
        <v>847</v>
      </c>
      <c r="Y71" s="110" t="s">
        <v>848</v>
      </c>
      <c r="Z71" s="110"/>
      <c r="AA71" s="112" t="s">
        <v>857</v>
      </c>
    </row>
    <row r="72" s="100" customFormat="1" ht="83" customHeight="1" spans="1:27">
      <c r="A72" s="110">
        <v>61</v>
      </c>
      <c r="B72" s="110" t="s">
        <v>348</v>
      </c>
      <c r="C72" s="110" t="s">
        <v>349</v>
      </c>
      <c r="D72" s="110" t="s">
        <v>35</v>
      </c>
      <c r="E72" s="110" t="s">
        <v>39</v>
      </c>
      <c r="F72" s="110" t="s">
        <v>40</v>
      </c>
      <c r="G72" s="110" t="s">
        <v>819</v>
      </c>
      <c r="H72" s="111" t="s">
        <v>350</v>
      </c>
      <c r="I72" s="110" t="s">
        <v>333</v>
      </c>
      <c r="J72" s="110">
        <v>20</v>
      </c>
      <c r="K72" s="118">
        <f t="shared" si="15"/>
        <v>2400</v>
      </c>
      <c r="L72" s="118">
        <f t="shared" si="16"/>
        <v>2400</v>
      </c>
      <c r="M72" s="118">
        <v>2400</v>
      </c>
      <c r="N72" s="118"/>
      <c r="O72" s="118"/>
      <c r="P72" s="118"/>
      <c r="Q72" s="110"/>
      <c r="R72" s="110"/>
      <c r="S72" s="110"/>
      <c r="T72" s="110"/>
      <c r="U72" s="110"/>
      <c r="V72" s="110"/>
      <c r="W72" s="110">
        <v>420000</v>
      </c>
      <c r="X72" s="110" t="s">
        <v>847</v>
      </c>
      <c r="Y72" s="110" t="s">
        <v>848</v>
      </c>
      <c r="Z72" s="110"/>
      <c r="AA72" s="112" t="s">
        <v>63</v>
      </c>
    </row>
    <row r="73" s="101" customFormat="1" ht="43" customHeight="1" spans="1:27">
      <c r="A73" s="114" t="s">
        <v>352</v>
      </c>
      <c r="B73" s="114"/>
      <c r="C73" s="114"/>
      <c r="D73" s="115"/>
      <c r="E73" s="116"/>
      <c r="F73" s="116"/>
      <c r="G73" s="116"/>
      <c r="H73" s="116">
        <v>5</v>
      </c>
      <c r="I73" s="120"/>
      <c r="J73" s="120"/>
      <c r="K73" s="121">
        <f t="shared" ref="K73:M73" si="17">SUM(K74:K78)</f>
        <v>8932.69</v>
      </c>
      <c r="L73" s="121">
        <f t="shared" si="17"/>
        <v>8932.69</v>
      </c>
      <c r="M73" s="121">
        <f t="shared" si="17"/>
        <v>8932.69</v>
      </c>
      <c r="N73" s="121">
        <f t="shared" ref="N73:V73" si="18">SUM(N76:N78)</f>
        <v>0</v>
      </c>
      <c r="O73" s="121">
        <f t="shared" si="18"/>
        <v>0</v>
      </c>
      <c r="P73" s="121">
        <f t="shared" si="18"/>
        <v>0</v>
      </c>
      <c r="Q73" s="121">
        <f t="shared" si="18"/>
        <v>0</v>
      </c>
      <c r="R73" s="121">
        <f t="shared" si="18"/>
        <v>0</v>
      </c>
      <c r="S73" s="121">
        <f t="shared" si="18"/>
        <v>0</v>
      </c>
      <c r="T73" s="121">
        <f t="shared" si="18"/>
        <v>0</v>
      </c>
      <c r="U73" s="121">
        <f t="shared" si="18"/>
        <v>0</v>
      </c>
      <c r="V73" s="121">
        <f t="shared" si="18"/>
        <v>0</v>
      </c>
      <c r="W73" s="116"/>
      <c r="X73" s="124"/>
      <c r="Y73" s="124"/>
      <c r="Z73" s="124"/>
      <c r="AA73" s="131"/>
    </row>
    <row r="74" s="100" customFormat="1" ht="128" customHeight="1" spans="1:27">
      <c r="A74" s="110">
        <v>62</v>
      </c>
      <c r="B74" s="110" t="s">
        <v>353</v>
      </c>
      <c r="C74" s="110" t="s">
        <v>354</v>
      </c>
      <c r="D74" s="110" t="s">
        <v>35</v>
      </c>
      <c r="E74" s="110" t="s">
        <v>39</v>
      </c>
      <c r="F74" s="110" t="s">
        <v>40</v>
      </c>
      <c r="G74" s="110" t="s">
        <v>242</v>
      </c>
      <c r="H74" s="111" t="s">
        <v>355</v>
      </c>
      <c r="I74" s="110" t="s">
        <v>43</v>
      </c>
      <c r="J74" s="110">
        <v>1300</v>
      </c>
      <c r="K74" s="118">
        <f t="shared" ref="K74:K78" si="19">SUM(L74,T74:V74)</f>
        <v>182.8</v>
      </c>
      <c r="L74" s="118">
        <f t="shared" ref="L74:L78" si="20">SUM(M74:S74)</f>
        <v>182.8</v>
      </c>
      <c r="M74" s="118">
        <v>182.8</v>
      </c>
      <c r="N74" s="118"/>
      <c r="O74" s="118"/>
      <c r="P74" s="118"/>
      <c r="Q74" s="110"/>
      <c r="R74" s="110"/>
      <c r="S74" s="110"/>
      <c r="T74" s="110"/>
      <c r="U74" s="110"/>
      <c r="V74" s="110"/>
      <c r="W74" s="110">
        <v>300</v>
      </c>
      <c r="X74" s="110" t="s">
        <v>855</v>
      </c>
      <c r="Y74" s="110" t="s">
        <v>856</v>
      </c>
      <c r="Z74" s="110"/>
      <c r="AA74" s="112" t="s">
        <v>849</v>
      </c>
    </row>
    <row r="75" s="100" customFormat="1" ht="211" customHeight="1" spans="1:27">
      <c r="A75" s="110">
        <v>63</v>
      </c>
      <c r="B75" s="110" t="s">
        <v>358</v>
      </c>
      <c r="C75" s="110" t="s">
        <v>900</v>
      </c>
      <c r="D75" s="110" t="s">
        <v>35</v>
      </c>
      <c r="E75" s="110" t="s">
        <v>39</v>
      </c>
      <c r="F75" s="110" t="s">
        <v>40</v>
      </c>
      <c r="G75" s="110" t="s">
        <v>360</v>
      </c>
      <c r="H75" s="111" t="s">
        <v>361</v>
      </c>
      <c r="I75" s="110" t="s">
        <v>164</v>
      </c>
      <c r="J75" s="110">
        <v>87</v>
      </c>
      <c r="K75" s="118">
        <f t="shared" si="19"/>
        <v>69.89</v>
      </c>
      <c r="L75" s="118">
        <f t="shared" si="20"/>
        <v>69.89</v>
      </c>
      <c r="M75" s="118">
        <v>69.89</v>
      </c>
      <c r="N75" s="118"/>
      <c r="O75" s="118"/>
      <c r="P75" s="118"/>
      <c r="Q75" s="110"/>
      <c r="R75" s="110"/>
      <c r="S75" s="110"/>
      <c r="T75" s="110"/>
      <c r="U75" s="110"/>
      <c r="V75" s="110"/>
      <c r="W75" s="110">
        <v>870</v>
      </c>
      <c r="X75" s="110" t="s">
        <v>369</v>
      </c>
      <c r="Y75" s="110" t="s">
        <v>370</v>
      </c>
      <c r="Z75" s="110"/>
      <c r="AA75" s="112" t="s">
        <v>63</v>
      </c>
    </row>
    <row r="76" s="100" customFormat="1" ht="101" customHeight="1" spans="1:27">
      <c r="A76" s="110">
        <v>64</v>
      </c>
      <c r="B76" s="110" t="s">
        <v>364</v>
      </c>
      <c r="C76" s="110" t="s">
        <v>365</v>
      </c>
      <c r="D76" s="110" t="s">
        <v>35</v>
      </c>
      <c r="E76" s="110" t="s">
        <v>39</v>
      </c>
      <c r="F76" s="110" t="s">
        <v>40</v>
      </c>
      <c r="G76" s="110" t="s">
        <v>366</v>
      </c>
      <c r="H76" s="111" t="s">
        <v>367</v>
      </c>
      <c r="I76" s="110" t="s">
        <v>164</v>
      </c>
      <c r="J76" s="110">
        <v>100</v>
      </c>
      <c r="K76" s="118">
        <f t="shared" si="19"/>
        <v>2800</v>
      </c>
      <c r="L76" s="118">
        <f t="shared" si="20"/>
        <v>2800</v>
      </c>
      <c r="M76" s="118">
        <v>2800</v>
      </c>
      <c r="N76" s="118"/>
      <c r="O76" s="118"/>
      <c r="P76" s="118"/>
      <c r="Q76" s="110"/>
      <c r="R76" s="110"/>
      <c r="S76" s="110"/>
      <c r="T76" s="110"/>
      <c r="U76" s="110"/>
      <c r="V76" s="110"/>
      <c r="W76" s="110">
        <v>950</v>
      </c>
      <c r="X76" s="110" t="s">
        <v>369</v>
      </c>
      <c r="Y76" s="110" t="s">
        <v>370</v>
      </c>
      <c r="Z76" s="110"/>
      <c r="AA76" s="112" t="s">
        <v>849</v>
      </c>
    </row>
    <row r="77" s="100" customFormat="1" ht="121" customHeight="1" spans="1:27">
      <c r="A77" s="110">
        <v>65</v>
      </c>
      <c r="B77" s="110" t="s">
        <v>371</v>
      </c>
      <c r="C77" s="110" t="s">
        <v>382</v>
      </c>
      <c r="D77" s="110" t="s">
        <v>35</v>
      </c>
      <c r="E77" s="110" t="s">
        <v>39</v>
      </c>
      <c r="F77" s="110" t="s">
        <v>40</v>
      </c>
      <c r="G77" s="110" t="s">
        <v>383</v>
      </c>
      <c r="H77" s="111" t="s">
        <v>384</v>
      </c>
      <c r="I77" s="110" t="s">
        <v>385</v>
      </c>
      <c r="J77" s="110">
        <v>4.9</v>
      </c>
      <c r="K77" s="118">
        <f t="shared" si="19"/>
        <v>2980</v>
      </c>
      <c r="L77" s="118">
        <f t="shared" si="20"/>
        <v>2980</v>
      </c>
      <c r="M77" s="118">
        <v>2980</v>
      </c>
      <c r="N77" s="118"/>
      <c r="O77" s="118"/>
      <c r="P77" s="118"/>
      <c r="Q77" s="110"/>
      <c r="R77" s="110"/>
      <c r="S77" s="110"/>
      <c r="T77" s="110"/>
      <c r="U77" s="110"/>
      <c r="V77" s="110"/>
      <c r="W77" s="110">
        <v>1500</v>
      </c>
      <c r="X77" s="110" t="s">
        <v>369</v>
      </c>
      <c r="Y77" s="110" t="s">
        <v>370</v>
      </c>
      <c r="Z77" s="110"/>
      <c r="AA77" s="112" t="s">
        <v>63</v>
      </c>
    </row>
    <row r="78" s="100" customFormat="1" ht="110" customHeight="1" spans="1:27">
      <c r="A78" s="110">
        <v>66</v>
      </c>
      <c r="B78" s="110" t="s">
        <v>376</v>
      </c>
      <c r="C78" s="110" t="s">
        <v>389</v>
      </c>
      <c r="D78" s="110" t="s">
        <v>35</v>
      </c>
      <c r="E78" s="110" t="s">
        <v>390</v>
      </c>
      <c r="F78" s="110" t="s">
        <v>40</v>
      </c>
      <c r="G78" s="110" t="s">
        <v>391</v>
      </c>
      <c r="H78" s="111" t="s">
        <v>392</v>
      </c>
      <c r="I78" s="110" t="s">
        <v>393</v>
      </c>
      <c r="J78" s="110">
        <v>2000</v>
      </c>
      <c r="K78" s="118">
        <f t="shared" si="19"/>
        <v>2900</v>
      </c>
      <c r="L78" s="118">
        <f t="shared" si="20"/>
        <v>2900</v>
      </c>
      <c r="M78" s="118">
        <v>2900</v>
      </c>
      <c r="N78" s="118"/>
      <c r="O78" s="118"/>
      <c r="P78" s="118"/>
      <c r="Q78" s="110"/>
      <c r="R78" s="110"/>
      <c r="S78" s="110"/>
      <c r="T78" s="110"/>
      <c r="U78" s="110"/>
      <c r="V78" s="110"/>
      <c r="W78" s="110">
        <v>2000</v>
      </c>
      <c r="X78" s="110" t="s">
        <v>396</v>
      </c>
      <c r="Y78" s="110" t="s">
        <v>397</v>
      </c>
      <c r="Z78" s="110"/>
      <c r="AA78" s="112" t="s">
        <v>849</v>
      </c>
    </row>
    <row r="79" s="101" customFormat="1" ht="43" customHeight="1" spans="1:27">
      <c r="A79" s="114" t="s">
        <v>398</v>
      </c>
      <c r="B79" s="114"/>
      <c r="C79" s="114"/>
      <c r="D79" s="115"/>
      <c r="E79" s="116"/>
      <c r="F79" s="116"/>
      <c r="G79" s="116"/>
      <c r="H79" s="116">
        <v>5</v>
      </c>
      <c r="I79" s="120"/>
      <c r="J79" s="120"/>
      <c r="K79" s="121">
        <f t="shared" ref="K79:V79" si="21">SUM(K80:K84)</f>
        <v>3795</v>
      </c>
      <c r="L79" s="121">
        <f t="shared" si="21"/>
        <v>3795</v>
      </c>
      <c r="M79" s="121">
        <f t="shared" si="21"/>
        <v>3795</v>
      </c>
      <c r="N79" s="121">
        <f t="shared" si="21"/>
        <v>0</v>
      </c>
      <c r="O79" s="121">
        <f t="shared" si="21"/>
        <v>0</v>
      </c>
      <c r="P79" s="121">
        <f t="shared" si="21"/>
        <v>0</v>
      </c>
      <c r="Q79" s="121">
        <f t="shared" si="21"/>
        <v>0</v>
      </c>
      <c r="R79" s="121">
        <f t="shared" si="21"/>
        <v>0</v>
      </c>
      <c r="S79" s="121">
        <f t="shared" si="21"/>
        <v>0</v>
      </c>
      <c r="T79" s="121">
        <f t="shared" si="21"/>
        <v>0</v>
      </c>
      <c r="U79" s="121">
        <f t="shared" si="21"/>
        <v>0</v>
      </c>
      <c r="V79" s="121">
        <f t="shared" si="21"/>
        <v>0</v>
      </c>
      <c r="W79" s="116"/>
      <c r="X79" s="124"/>
      <c r="Y79" s="124"/>
      <c r="Z79" s="124"/>
      <c r="AA79" s="131"/>
    </row>
    <row r="80" s="100" customFormat="1" ht="159" customHeight="1" spans="1:27">
      <c r="A80" s="110">
        <v>67</v>
      </c>
      <c r="B80" s="110" t="s">
        <v>381</v>
      </c>
      <c r="C80" s="110" t="s">
        <v>901</v>
      </c>
      <c r="D80" s="110" t="s">
        <v>35</v>
      </c>
      <c r="E80" s="110" t="s">
        <v>71</v>
      </c>
      <c r="F80" s="110" t="s">
        <v>401</v>
      </c>
      <c r="G80" s="110" t="s">
        <v>402</v>
      </c>
      <c r="H80" s="113" t="s">
        <v>902</v>
      </c>
      <c r="I80" s="112" t="s">
        <v>421</v>
      </c>
      <c r="J80" s="112">
        <v>4</v>
      </c>
      <c r="K80" s="118">
        <f>SUM(L80,T80:V80)</f>
        <v>2000</v>
      </c>
      <c r="L80" s="118">
        <f>SUM(M80:S80)</f>
        <v>2000</v>
      </c>
      <c r="M80" s="118">
        <v>2000</v>
      </c>
      <c r="N80" s="134"/>
      <c r="O80" s="134"/>
      <c r="P80" s="134"/>
      <c r="Q80" s="136"/>
      <c r="R80" s="136"/>
      <c r="S80" s="136"/>
      <c r="T80" s="136"/>
      <c r="U80" s="136"/>
      <c r="V80" s="136"/>
      <c r="W80" s="136">
        <v>1500</v>
      </c>
      <c r="X80" s="110" t="s">
        <v>121</v>
      </c>
      <c r="Y80" s="110" t="s">
        <v>122</v>
      </c>
      <c r="Z80" s="110"/>
      <c r="AA80" s="112" t="s">
        <v>63</v>
      </c>
    </row>
    <row r="81" s="100" customFormat="1" ht="101" customHeight="1" spans="1:27">
      <c r="A81" s="110">
        <v>68</v>
      </c>
      <c r="B81" s="110" t="s">
        <v>405</v>
      </c>
      <c r="C81" s="110" t="s">
        <v>903</v>
      </c>
      <c r="D81" s="110" t="s">
        <v>35</v>
      </c>
      <c r="E81" s="110" t="s">
        <v>424</v>
      </c>
      <c r="F81" s="110" t="s">
        <v>40</v>
      </c>
      <c r="G81" s="110" t="s">
        <v>819</v>
      </c>
      <c r="H81" s="113" t="s">
        <v>904</v>
      </c>
      <c r="I81" s="112" t="s">
        <v>426</v>
      </c>
      <c r="J81" s="112">
        <v>10</v>
      </c>
      <c r="K81" s="118">
        <f>SUM(L81,T81:V81)</f>
        <v>500</v>
      </c>
      <c r="L81" s="118">
        <f>SUM(M81:S81)</f>
        <v>500</v>
      </c>
      <c r="M81" s="118">
        <v>500</v>
      </c>
      <c r="N81" s="134"/>
      <c r="O81" s="134">
        <v>0</v>
      </c>
      <c r="P81" s="134">
        <v>0</v>
      </c>
      <c r="Q81" s="136">
        <v>0</v>
      </c>
      <c r="R81" s="136">
        <v>0</v>
      </c>
      <c r="S81" s="136">
        <v>0</v>
      </c>
      <c r="T81" s="136">
        <v>0</v>
      </c>
      <c r="U81" s="136">
        <v>0</v>
      </c>
      <c r="V81" s="136">
        <v>0</v>
      </c>
      <c r="W81" s="136">
        <v>20000</v>
      </c>
      <c r="X81" s="110" t="s">
        <v>121</v>
      </c>
      <c r="Y81" s="110" t="s">
        <v>122</v>
      </c>
      <c r="Z81" s="110"/>
      <c r="AA81" s="112" t="s">
        <v>63</v>
      </c>
    </row>
    <row r="82" s="100" customFormat="1" ht="102" spans="1:27">
      <c r="A82" s="110">
        <v>69</v>
      </c>
      <c r="B82" s="110" t="s">
        <v>412</v>
      </c>
      <c r="C82" s="110" t="s">
        <v>905</v>
      </c>
      <c r="D82" s="110" t="s">
        <v>35</v>
      </c>
      <c r="E82" s="110" t="s">
        <v>424</v>
      </c>
      <c r="F82" s="110" t="s">
        <v>40</v>
      </c>
      <c r="G82" s="110" t="s">
        <v>819</v>
      </c>
      <c r="H82" s="113" t="s">
        <v>906</v>
      </c>
      <c r="I82" s="112" t="s">
        <v>431</v>
      </c>
      <c r="J82" s="112">
        <v>1</v>
      </c>
      <c r="K82" s="118">
        <f>SUM(L82,T82:V82)</f>
        <v>200</v>
      </c>
      <c r="L82" s="118">
        <f>SUM(M82:S82)</f>
        <v>200</v>
      </c>
      <c r="M82" s="118">
        <v>200</v>
      </c>
      <c r="N82" s="134"/>
      <c r="O82" s="134"/>
      <c r="P82" s="134"/>
      <c r="Q82" s="137"/>
      <c r="R82" s="137"/>
      <c r="S82" s="137"/>
      <c r="T82" s="137"/>
      <c r="U82" s="137"/>
      <c r="V82" s="137"/>
      <c r="W82" s="137">
        <v>5000</v>
      </c>
      <c r="X82" s="110" t="s">
        <v>121</v>
      </c>
      <c r="Y82" s="110" t="s">
        <v>122</v>
      </c>
      <c r="Z82" s="110"/>
      <c r="AA82" s="112" t="s">
        <v>63</v>
      </c>
    </row>
    <row r="83" s="100" customFormat="1" ht="105" customHeight="1" spans="1:27">
      <c r="A83" s="110">
        <v>70</v>
      </c>
      <c r="B83" s="110" t="s">
        <v>418</v>
      </c>
      <c r="C83" s="110" t="s">
        <v>434</v>
      </c>
      <c r="D83" s="110" t="s">
        <v>35</v>
      </c>
      <c r="E83" s="110" t="s">
        <v>71</v>
      </c>
      <c r="F83" s="110" t="s">
        <v>40</v>
      </c>
      <c r="G83" s="110" t="s">
        <v>435</v>
      </c>
      <c r="H83" s="113" t="s">
        <v>436</v>
      </c>
      <c r="I83" s="112" t="s">
        <v>437</v>
      </c>
      <c r="J83" s="112">
        <v>1</v>
      </c>
      <c r="K83" s="118">
        <f>SUM(L83,T83:V83)</f>
        <v>395</v>
      </c>
      <c r="L83" s="118">
        <f>SUM(M83:S83)</f>
        <v>395</v>
      </c>
      <c r="M83" s="118">
        <v>395</v>
      </c>
      <c r="N83" s="134"/>
      <c r="O83" s="134"/>
      <c r="P83" s="134"/>
      <c r="Q83" s="137"/>
      <c r="R83" s="137"/>
      <c r="S83" s="137"/>
      <c r="T83" s="137"/>
      <c r="U83" s="137"/>
      <c r="V83" s="137"/>
      <c r="W83" s="137">
        <v>120</v>
      </c>
      <c r="X83" s="110" t="s">
        <v>80</v>
      </c>
      <c r="Y83" s="110" t="s">
        <v>81</v>
      </c>
      <c r="Z83" s="110"/>
      <c r="AA83" s="112" t="s">
        <v>63</v>
      </c>
    </row>
    <row r="84" s="100" customFormat="1" ht="107" customHeight="1" spans="1:27">
      <c r="A84" s="110">
        <v>71</v>
      </c>
      <c r="B84" s="110" t="s">
        <v>422</v>
      </c>
      <c r="C84" s="110" t="s">
        <v>448</v>
      </c>
      <c r="D84" s="110" t="s">
        <v>35</v>
      </c>
      <c r="E84" s="110" t="s">
        <v>424</v>
      </c>
      <c r="F84" s="110" t="s">
        <v>40</v>
      </c>
      <c r="G84" s="110" t="s">
        <v>819</v>
      </c>
      <c r="H84" s="113" t="s">
        <v>449</v>
      </c>
      <c r="I84" s="112" t="s">
        <v>450</v>
      </c>
      <c r="J84" s="112">
        <v>650</v>
      </c>
      <c r="K84" s="118">
        <f>SUM(L84,T84:V84)</f>
        <v>700</v>
      </c>
      <c r="L84" s="118">
        <f>SUM(M84:S84)</f>
        <v>700</v>
      </c>
      <c r="M84" s="118">
        <v>700</v>
      </c>
      <c r="N84" s="134"/>
      <c r="O84" s="134"/>
      <c r="P84" s="134"/>
      <c r="Q84" s="137"/>
      <c r="R84" s="137"/>
      <c r="S84" s="137"/>
      <c r="T84" s="137"/>
      <c r="U84" s="137"/>
      <c r="V84" s="137"/>
      <c r="W84" s="137">
        <v>65000</v>
      </c>
      <c r="X84" s="110" t="s">
        <v>121</v>
      </c>
      <c r="Y84" s="110" t="s">
        <v>122</v>
      </c>
      <c r="Z84" s="110"/>
      <c r="AA84" s="112" t="s">
        <v>63</v>
      </c>
    </row>
    <row r="85" s="101" customFormat="1" ht="43" customHeight="1" spans="1:27">
      <c r="A85" s="114" t="s">
        <v>452</v>
      </c>
      <c r="B85" s="114"/>
      <c r="C85" s="114"/>
      <c r="D85" s="115"/>
      <c r="E85" s="116"/>
      <c r="F85" s="116"/>
      <c r="G85" s="116"/>
      <c r="H85" s="116">
        <v>34</v>
      </c>
      <c r="I85" s="120"/>
      <c r="J85" s="120"/>
      <c r="K85" s="121">
        <f t="shared" ref="K85:V85" si="22">SUM(K86:K119)</f>
        <v>34772.3</v>
      </c>
      <c r="L85" s="121">
        <f t="shared" si="22"/>
        <v>34772.3</v>
      </c>
      <c r="M85" s="121">
        <f t="shared" si="22"/>
        <v>21779</v>
      </c>
      <c r="N85" s="121">
        <f t="shared" si="22"/>
        <v>9180</v>
      </c>
      <c r="O85" s="121">
        <f t="shared" si="22"/>
        <v>0</v>
      </c>
      <c r="P85" s="121">
        <f t="shared" si="22"/>
        <v>3603.3</v>
      </c>
      <c r="Q85" s="121">
        <f t="shared" si="22"/>
        <v>0</v>
      </c>
      <c r="R85" s="121">
        <f t="shared" si="22"/>
        <v>210</v>
      </c>
      <c r="S85" s="121">
        <f t="shared" si="22"/>
        <v>0</v>
      </c>
      <c r="T85" s="121">
        <f t="shared" si="22"/>
        <v>0</v>
      </c>
      <c r="U85" s="121">
        <f t="shared" si="22"/>
        <v>0</v>
      </c>
      <c r="V85" s="121">
        <f t="shared" si="22"/>
        <v>0</v>
      </c>
      <c r="W85" s="116"/>
      <c r="X85" s="124"/>
      <c r="Y85" s="124"/>
      <c r="Z85" s="124"/>
      <c r="AA85" s="131"/>
    </row>
    <row r="86" s="102" customFormat="1" ht="105" customHeight="1" spans="1:27">
      <c r="A86" s="110">
        <v>72</v>
      </c>
      <c r="B86" s="110" t="s">
        <v>428</v>
      </c>
      <c r="C86" s="110" t="s">
        <v>454</v>
      </c>
      <c r="D86" s="110" t="s">
        <v>35</v>
      </c>
      <c r="E86" s="132" t="s">
        <v>455</v>
      </c>
      <c r="F86" s="132" t="s">
        <v>401</v>
      </c>
      <c r="G86" s="132" t="s">
        <v>456</v>
      </c>
      <c r="H86" s="113" t="s">
        <v>457</v>
      </c>
      <c r="I86" s="132" t="s">
        <v>164</v>
      </c>
      <c r="J86" s="132">
        <v>1</v>
      </c>
      <c r="K86" s="118">
        <f t="shared" ref="K86:K119" si="23">SUM(L86,T86:V86)</f>
        <v>240</v>
      </c>
      <c r="L86" s="118">
        <f t="shared" ref="L86:L119" si="24">SUM(M86:S86)</f>
        <v>240</v>
      </c>
      <c r="M86" s="132">
        <v>240</v>
      </c>
      <c r="N86" s="132"/>
      <c r="O86" s="132"/>
      <c r="P86" s="132"/>
      <c r="Q86" s="132"/>
      <c r="R86" s="132"/>
      <c r="S86" s="132"/>
      <c r="T86" s="132"/>
      <c r="U86" s="132"/>
      <c r="V86" s="132"/>
      <c r="W86" s="132">
        <v>3000</v>
      </c>
      <c r="X86" s="110" t="s">
        <v>863</v>
      </c>
      <c r="Y86" s="110" t="s">
        <v>864</v>
      </c>
      <c r="Z86" s="132"/>
      <c r="AA86" s="112" t="s">
        <v>63</v>
      </c>
    </row>
    <row r="87" s="100" customFormat="1" ht="111" customHeight="1" spans="1:27">
      <c r="A87" s="110">
        <v>73</v>
      </c>
      <c r="B87" s="110" t="s">
        <v>433</v>
      </c>
      <c r="C87" s="110" t="s">
        <v>461</v>
      </c>
      <c r="D87" s="110" t="s">
        <v>35</v>
      </c>
      <c r="E87" s="110" t="s">
        <v>455</v>
      </c>
      <c r="F87" s="110" t="s">
        <v>40</v>
      </c>
      <c r="G87" s="110" t="s">
        <v>391</v>
      </c>
      <c r="H87" s="111" t="s">
        <v>462</v>
      </c>
      <c r="I87" s="110" t="s">
        <v>393</v>
      </c>
      <c r="J87" s="110">
        <v>6666.7</v>
      </c>
      <c r="K87" s="118">
        <f t="shared" si="23"/>
        <v>2980</v>
      </c>
      <c r="L87" s="118">
        <f t="shared" si="24"/>
        <v>2980</v>
      </c>
      <c r="M87" s="118">
        <v>2980</v>
      </c>
      <c r="N87" s="118"/>
      <c r="O87" s="118"/>
      <c r="P87" s="118"/>
      <c r="Q87" s="110"/>
      <c r="R87" s="110"/>
      <c r="S87" s="110"/>
      <c r="T87" s="110"/>
      <c r="U87" s="110"/>
      <c r="V87" s="110"/>
      <c r="W87" s="110">
        <v>200</v>
      </c>
      <c r="X87" s="110" t="s">
        <v>465</v>
      </c>
      <c r="Y87" s="110" t="s">
        <v>466</v>
      </c>
      <c r="Z87" s="110"/>
      <c r="AA87" s="112" t="s">
        <v>849</v>
      </c>
    </row>
    <row r="88" s="100" customFormat="1" ht="111" customHeight="1" spans="1:27">
      <c r="A88" s="110">
        <v>74</v>
      </c>
      <c r="B88" s="110" t="s">
        <v>440</v>
      </c>
      <c r="C88" s="110" t="s">
        <v>468</v>
      </c>
      <c r="D88" s="110" t="s">
        <v>35</v>
      </c>
      <c r="E88" s="110" t="s">
        <v>469</v>
      </c>
      <c r="F88" s="110" t="s">
        <v>40</v>
      </c>
      <c r="G88" s="110" t="s">
        <v>391</v>
      </c>
      <c r="H88" s="111" t="s">
        <v>470</v>
      </c>
      <c r="I88" s="110" t="s">
        <v>393</v>
      </c>
      <c r="J88" s="110">
        <v>2000</v>
      </c>
      <c r="K88" s="118">
        <f t="shared" si="23"/>
        <v>800</v>
      </c>
      <c r="L88" s="118">
        <f t="shared" si="24"/>
        <v>800</v>
      </c>
      <c r="M88" s="118"/>
      <c r="N88" s="118"/>
      <c r="O88" s="118"/>
      <c r="P88" s="118">
        <v>800</v>
      </c>
      <c r="Q88" s="110"/>
      <c r="R88" s="110"/>
      <c r="S88" s="110"/>
      <c r="T88" s="110"/>
      <c r="U88" s="110"/>
      <c r="V88" s="110"/>
      <c r="W88" s="110">
        <v>2000</v>
      </c>
      <c r="X88" s="110" t="s">
        <v>472</v>
      </c>
      <c r="Y88" s="110" t="s">
        <v>473</v>
      </c>
      <c r="Z88" s="110"/>
      <c r="AA88" s="112" t="s">
        <v>849</v>
      </c>
    </row>
    <row r="89" s="100" customFormat="1" ht="110" customHeight="1" spans="1:27">
      <c r="A89" s="110">
        <v>75</v>
      </c>
      <c r="B89" s="110" t="s">
        <v>447</v>
      </c>
      <c r="C89" s="110" t="s">
        <v>475</v>
      </c>
      <c r="D89" s="110" t="s">
        <v>35</v>
      </c>
      <c r="E89" s="110" t="s">
        <v>476</v>
      </c>
      <c r="F89" s="110" t="s">
        <v>40</v>
      </c>
      <c r="G89" s="110" t="s">
        <v>477</v>
      </c>
      <c r="H89" s="111" t="s">
        <v>478</v>
      </c>
      <c r="I89" s="110" t="s">
        <v>393</v>
      </c>
      <c r="J89" s="110">
        <v>1000</v>
      </c>
      <c r="K89" s="118">
        <f t="shared" si="23"/>
        <v>960</v>
      </c>
      <c r="L89" s="118">
        <f t="shared" si="24"/>
        <v>960</v>
      </c>
      <c r="M89" s="118">
        <v>960</v>
      </c>
      <c r="N89" s="118"/>
      <c r="O89" s="118"/>
      <c r="P89" s="118"/>
      <c r="Q89" s="110"/>
      <c r="R89" s="110"/>
      <c r="S89" s="110"/>
      <c r="T89" s="110"/>
      <c r="U89" s="110"/>
      <c r="V89" s="110"/>
      <c r="W89" s="110">
        <v>1600</v>
      </c>
      <c r="X89" s="110" t="s">
        <v>465</v>
      </c>
      <c r="Y89" s="130" t="s">
        <v>466</v>
      </c>
      <c r="Z89" s="110"/>
      <c r="AA89" s="112" t="s">
        <v>63</v>
      </c>
    </row>
    <row r="90" s="100" customFormat="1" ht="89" customHeight="1" spans="1:27">
      <c r="A90" s="110">
        <v>76</v>
      </c>
      <c r="B90" s="110" t="s">
        <v>453</v>
      </c>
      <c r="C90" s="110" t="s">
        <v>482</v>
      </c>
      <c r="D90" s="110" t="s">
        <v>35</v>
      </c>
      <c r="E90" s="110" t="s">
        <v>455</v>
      </c>
      <c r="F90" s="110" t="s">
        <v>40</v>
      </c>
      <c r="G90" s="110" t="s">
        <v>483</v>
      </c>
      <c r="H90" s="111" t="s">
        <v>484</v>
      </c>
      <c r="I90" s="135" t="s">
        <v>393</v>
      </c>
      <c r="J90" s="135">
        <v>10000</v>
      </c>
      <c r="K90" s="118">
        <f t="shared" si="23"/>
        <v>2000</v>
      </c>
      <c r="L90" s="118">
        <f t="shared" si="24"/>
        <v>2000</v>
      </c>
      <c r="M90" s="118">
        <v>2000</v>
      </c>
      <c r="N90" s="118"/>
      <c r="O90" s="118"/>
      <c r="P90" s="118"/>
      <c r="Q90" s="110"/>
      <c r="R90" s="110"/>
      <c r="S90" s="110"/>
      <c r="T90" s="110"/>
      <c r="U90" s="110"/>
      <c r="V90" s="110"/>
      <c r="W90" s="110">
        <v>5000</v>
      </c>
      <c r="X90" s="110" t="s">
        <v>465</v>
      </c>
      <c r="Y90" s="110" t="s">
        <v>466</v>
      </c>
      <c r="Z90" s="110"/>
      <c r="AA90" s="112" t="s">
        <v>63</v>
      </c>
    </row>
    <row r="91" s="100" customFormat="1" ht="89" customHeight="1" spans="1:27">
      <c r="A91" s="110">
        <v>77</v>
      </c>
      <c r="B91" s="110" t="s">
        <v>460</v>
      </c>
      <c r="C91" s="110" t="s">
        <v>488</v>
      </c>
      <c r="D91" s="110" t="s">
        <v>35</v>
      </c>
      <c r="E91" s="110" t="s">
        <v>455</v>
      </c>
      <c r="F91" s="110" t="s">
        <v>40</v>
      </c>
      <c r="G91" s="110" t="s">
        <v>483</v>
      </c>
      <c r="H91" s="111" t="s">
        <v>489</v>
      </c>
      <c r="I91" s="135" t="s">
        <v>393</v>
      </c>
      <c r="J91" s="135">
        <v>16000</v>
      </c>
      <c r="K91" s="118">
        <f t="shared" si="23"/>
        <v>2900</v>
      </c>
      <c r="L91" s="118">
        <f t="shared" si="24"/>
        <v>2900</v>
      </c>
      <c r="M91" s="118">
        <v>2900</v>
      </c>
      <c r="N91" s="118"/>
      <c r="O91" s="118"/>
      <c r="P91" s="118"/>
      <c r="Q91" s="110"/>
      <c r="R91" s="110"/>
      <c r="S91" s="110"/>
      <c r="T91" s="110"/>
      <c r="U91" s="110"/>
      <c r="V91" s="110"/>
      <c r="W91" s="110">
        <v>5000</v>
      </c>
      <c r="X91" s="110" t="s">
        <v>465</v>
      </c>
      <c r="Y91" s="110" t="s">
        <v>466</v>
      </c>
      <c r="Z91" s="110"/>
      <c r="AA91" s="112" t="s">
        <v>63</v>
      </c>
    </row>
    <row r="92" s="100" customFormat="1" ht="143" customHeight="1" spans="1:27">
      <c r="A92" s="110">
        <v>78</v>
      </c>
      <c r="B92" s="110" t="s">
        <v>467</v>
      </c>
      <c r="C92" s="110" t="s">
        <v>493</v>
      </c>
      <c r="D92" s="110" t="s">
        <v>35</v>
      </c>
      <c r="E92" s="110" t="s">
        <v>390</v>
      </c>
      <c r="F92" s="110" t="s">
        <v>40</v>
      </c>
      <c r="G92" s="110" t="s">
        <v>494</v>
      </c>
      <c r="H92" s="111" t="s">
        <v>495</v>
      </c>
      <c r="I92" s="110" t="s">
        <v>393</v>
      </c>
      <c r="J92" s="110">
        <v>9600</v>
      </c>
      <c r="K92" s="118">
        <f t="shared" si="23"/>
        <v>790</v>
      </c>
      <c r="L92" s="118">
        <f t="shared" si="24"/>
        <v>790</v>
      </c>
      <c r="M92" s="118">
        <v>790</v>
      </c>
      <c r="N92" s="118"/>
      <c r="O92" s="118"/>
      <c r="P92" s="118"/>
      <c r="Q92" s="110"/>
      <c r="R92" s="110"/>
      <c r="S92" s="110"/>
      <c r="T92" s="110"/>
      <c r="U92" s="110"/>
      <c r="V92" s="110"/>
      <c r="W92" s="110">
        <v>9800</v>
      </c>
      <c r="X92" s="110" t="s">
        <v>396</v>
      </c>
      <c r="Y92" s="110" t="s">
        <v>397</v>
      </c>
      <c r="Z92" s="110"/>
      <c r="AA92" s="112" t="s">
        <v>63</v>
      </c>
    </row>
    <row r="93" s="100" customFormat="1" ht="106" customHeight="1" spans="1:27">
      <c r="A93" s="110">
        <v>79</v>
      </c>
      <c r="B93" s="110" t="s">
        <v>474</v>
      </c>
      <c r="C93" s="110" t="s">
        <v>499</v>
      </c>
      <c r="D93" s="110" t="s">
        <v>35</v>
      </c>
      <c r="E93" s="110" t="s">
        <v>907</v>
      </c>
      <c r="F93" s="110" t="s">
        <v>40</v>
      </c>
      <c r="G93" s="110" t="s">
        <v>500</v>
      </c>
      <c r="H93" s="111" t="s">
        <v>501</v>
      </c>
      <c r="I93" s="110" t="s">
        <v>43</v>
      </c>
      <c r="J93" s="110">
        <v>200</v>
      </c>
      <c r="K93" s="118">
        <f t="shared" si="23"/>
        <v>295</v>
      </c>
      <c r="L93" s="118">
        <f t="shared" si="24"/>
        <v>295</v>
      </c>
      <c r="M93" s="118">
        <v>295</v>
      </c>
      <c r="N93" s="118"/>
      <c r="O93" s="118"/>
      <c r="P93" s="118"/>
      <c r="Q93" s="110"/>
      <c r="R93" s="110"/>
      <c r="S93" s="110"/>
      <c r="T93" s="110"/>
      <c r="U93" s="110"/>
      <c r="V93" s="110"/>
      <c r="W93" s="110">
        <v>300</v>
      </c>
      <c r="X93" s="110" t="s">
        <v>369</v>
      </c>
      <c r="Y93" s="110" t="s">
        <v>370</v>
      </c>
      <c r="Z93" s="110"/>
      <c r="AA93" s="112" t="s">
        <v>63</v>
      </c>
    </row>
    <row r="94" s="100" customFormat="1" ht="143" customHeight="1" spans="1:27">
      <c r="A94" s="110">
        <v>80</v>
      </c>
      <c r="B94" s="110" t="s">
        <v>481</v>
      </c>
      <c r="C94" s="110" t="s">
        <v>505</v>
      </c>
      <c r="D94" s="110" t="s">
        <v>35</v>
      </c>
      <c r="E94" s="110" t="s">
        <v>469</v>
      </c>
      <c r="F94" s="110" t="s">
        <v>40</v>
      </c>
      <c r="G94" s="110" t="s">
        <v>506</v>
      </c>
      <c r="H94" s="111" t="s">
        <v>507</v>
      </c>
      <c r="I94" s="110" t="s">
        <v>164</v>
      </c>
      <c r="J94" s="110">
        <v>1</v>
      </c>
      <c r="K94" s="118">
        <f t="shared" si="23"/>
        <v>270</v>
      </c>
      <c r="L94" s="118">
        <f t="shared" si="24"/>
        <v>270</v>
      </c>
      <c r="M94" s="118">
        <v>270</v>
      </c>
      <c r="N94" s="118"/>
      <c r="O94" s="118"/>
      <c r="P94" s="118"/>
      <c r="Q94" s="110"/>
      <c r="R94" s="110"/>
      <c r="S94" s="110"/>
      <c r="T94" s="110"/>
      <c r="U94" s="110"/>
      <c r="V94" s="110"/>
      <c r="W94" s="110">
        <v>270</v>
      </c>
      <c r="X94" s="110" t="s">
        <v>465</v>
      </c>
      <c r="Y94" s="110" t="s">
        <v>466</v>
      </c>
      <c r="Z94" s="110"/>
      <c r="AA94" s="112" t="s">
        <v>63</v>
      </c>
    </row>
    <row r="95" s="100" customFormat="1" ht="92" customHeight="1" spans="1:27">
      <c r="A95" s="110">
        <v>81</v>
      </c>
      <c r="B95" s="110" t="s">
        <v>487</v>
      </c>
      <c r="C95" s="110" t="s">
        <v>511</v>
      </c>
      <c r="D95" s="110" t="s">
        <v>35</v>
      </c>
      <c r="E95" s="110" t="s">
        <v>71</v>
      </c>
      <c r="F95" s="110" t="s">
        <v>40</v>
      </c>
      <c r="G95" s="110" t="s">
        <v>512</v>
      </c>
      <c r="H95" s="111" t="s">
        <v>513</v>
      </c>
      <c r="I95" s="110" t="s">
        <v>393</v>
      </c>
      <c r="J95" s="110">
        <v>1500</v>
      </c>
      <c r="K95" s="118">
        <f t="shared" si="23"/>
        <v>350</v>
      </c>
      <c r="L95" s="118">
        <f t="shared" si="24"/>
        <v>350</v>
      </c>
      <c r="M95" s="118">
        <v>350</v>
      </c>
      <c r="N95" s="118"/>
      <c r="O95" s="118"/>
      <c r="P95" s="118"/>
      <c r="Q95" s="110"/>
      <c r="R95" s="110"/>
      <c r="S95" s="110"/>
      <c r="T95" s="110"/>
      <c r="U95" s="110"/>
      <c r="V95" s="110"/>
      <c r="W95" s="110">
        <v>300</v>
      </c>
      <c r="X95" s="110" t="s">
        <v>121</v>
      </c>
      <c r="Y95" s="110" t="s">
        <v>122</v>
      </c>
      <c r="Z95" s="110"/>
      <c r="AA95" s="112" t="s">
        <v>857</v>
      </c>
    </row>
    <row r="96" s="100" customFormat="1" ht="152" customHeight="1" spans="1:27">
      <c r="A96" s="110">
        <v>82</v>
      </c>
      <c r="B96" s="110" t="s">
        <v>492</v>
      </c>
      <c r="C96" s="110" t="s">
        <v>517</v>
      </c>
      <c r="D96" s="110" t="s">
        <v>35</v>
      </c>
      <c r="E96" s="110" t="s">
        <v>476</v>
      </c>
      <c r="F96" s="110" t="s">
        <v>40</v>
      </c>
      <c r="G96" s="110" t="s">
        <v>518</v>
      </c>
      <c r="H96" s="111" t="s">
        <v>519</v>
      </c>
      <c r="I96" s="110" t="s">
        <v>164</v>
      </c>
      <c r="J96" s="110">
        <v>2</v>
      </c>
      <c r="K96" s="118">
        <f t="shared" si="23"/>
        <v>240</v>
      </c>
      <c r="L96" s="118">
        <f t="shared" si="24"/>
        <v>240</v>
      </c>
      <c r="M96" s="118">
        <v>240</v>
      </c>
      <c r="N96" s="118"/>
      <c r="O96" s="118"/>
      <c r="P96" s="118"/>
      <c r="Q96" s="110"/>
      <c r="R96" s="110"/>
      <c r="S96" s="110"/>
      <c r="T96" s="110"/>
      <c r="U96" s="110"/>
      <c r="V96" s="110"/>
      <c r="W96" s="110">
        <v>240</v>
      </c>
      <c r="X96" s="110" t="s">
        <v>465</v>
      </c>
      <c r="Y96" s="110" t="s">
        <v>466</v>
      </c>
      <c r="Z96" s="110"/>
      <c r="AA96" s="112" t="s">
        <v>63</v>
      </c>
    </row>
    <row r="97" s="100" customFormat="1" ht="113" customHeight="1" spans="1:27">
      <c r="A97" s="110">
        <v>83</v>
      </c>
      <c r="B97" s="110" t="s">
        <v>498</v>
      </c>
      <c r="C97" s="110" t="s">
        <v>523</v>
      </c>
      <c r="D97" s="110" t="s">
        <v>35</v>
      </c>
      <c r="E97" s="110" t="s">
        <v>469</v>
      </c>
      <c r="F97" s="133" t="s">
        <v>40</v>
      </c>
      <c r="G97" s="112" t="s">
        <v>524</v>
      </c>
      <c r="H97" s="113" t="s">
        <v>908</v>
      </c>
      <c r="I97" s="112" t="s">
        <v>393</v>
      </c>
      <c r="J97" s="112">
        <v>5000</v>
      </c>
      <c r="K97" s="118">
        <f t="shared" si="23"/>
        <v>395</v>
      </c>
      <c r="L97" s="118">
        <f t="shared" si="24"/>
        <v>395</v>
      </c>
      <c r="M97" s="118">
        <v>395</v>
      </c>
      <c r="N97" s="119"/>
      <c r="O97" s="119"/>
      <c r="P97" s="119"/>
      <c r="Q97" s="112"/>
      <c r="R97" s="112"/>
      <c r="S97" s="112"/>
      <c r="T97" s="112"/>
      <c r="U97" s="133"/>
      <c r="V97" s="133"/>
      <c r="W97" s="112">
        <v>395</v>
      </c>
      <c r="X97" s="110" t="s">
        <v>465</v>
      </c>
      <c r="Y97" s="110" t="s">
        <v>466</v>
      </c>
      <c r="Z97" s="110"/>
      <c r="AA97" s="112" t="s">
        <v>63</v>
      </c>
    </row>
    <row r="98" s="100" customFormat="1" ht="139" customHeight="1" spans="1:27">
      <c r="A98" s="110">
        <v>84</v>
      </c>
      <c r="B98" s="110" t="s">
        <v>504</v>
      </c>
      <c r="C98" s="110" t="s">
        <v>529</v>
      </c>
      <c r="D98" s="110" t="s">
        <v>35</v>
      </c>
      <c r="E98" s="110" t="s">
        <v>469</v>
      </c>
      <c r="F98" s="133" t="s">
        <v>40</v>
      </c>
      <c r="G98" s="112" t="s">
        <v>524</v>
      </c>
      <c r="H98" s="113" t="s">
        <v>530</v>
      </c>
      <c r="I98" s="112" t="s">
        <v>444</v>
      </c>
      <c r="J98" s="112">
        <v>1</v>
      </c>
      <c r="K98" s="118">
        <f t="shared" si="23"/>
        <v>395</v>
      </c>
      <c r="L98" s="118">
        <f t="shared" si="24"/>
        <v>395</v>
      </c>
      <c r="M98" s="118"/>
      <c r="N98" s="119">
        <v>395</v>
      </c>
      <c r="O98" s="119"/>
      <c r="P98" s="119"/>
      <c r="Q98" s="112"/>
      <c r="R98" s="112"/>
      <c r="S98" s="112"/>
      <c r="T98" s="112"/>
      <c r="U98" s="133"/>
      <c r="V98" s="133"/>
      <c r="W98" s="112">
        <v>395</v>
      </c>
      <c r="X98" s="110" t="s">
        <v>465</v>
      </c>
      <c r="Y98" s="110" t="s">
        <v>466</v>
      </c>
      <c r="Z98" s="110"/>
      <c r="AA98" s="112" t="s">
        <v>849</v>
      </c>
    </row>
    <row r="99" s="100" customFormat="1" ht="97" customHeight="1" spans="1:27">
      <c r="A99" s="110">
        <v>85</v>
      </c>
      <c r="B99" s="110" t="s">
        <v>510</v>
      </c>
      <c r="C99" s="110" t="s">
        <v>533</v>
      </c>
      <c r="D99" s="110" t="s">
        <v>35</v>
      </c>
      <c r="E99" s="110" t="s">
        <v>39</v>
      </c>
      <c r="F99" s="133" t="s">
        <v>40</v>
      </c>
      <c r="G99" s="112" t="s">
        <v>373</v>
      </c>
      <c r="H99" s="113" t="s">
        <v>534</v>
      </c>
      <c r="I99" s="112" t="s">
        <v>43</v>
      </c>
      <c r="J99" s="112">
        <v>60</v>
      </c>
      <c r="K99" s="118">
        <f t="shared" si="23"/>
        <v>630</v>
      </c>
      <c r="L99" s="118">
        <f t="shared" si="24"/>
        <v>630</v>
      </c>
      <c r="M99" s="118"/>
      <c r="N99" s="119"/>
      <c r="O99" s="119"/>
      <c r="P99" s="119">
        <v>630</v>
      </c>
      <c r="Q99" s="112"/>
      <c r="R99" s="112"/>
      <c r="S99" s="112"/>
      <c r="T99" s="112"/>
      <c r="U99" s="133"/>
      <c r="V99" s="133"/>
      <c r="W99" s="112">
        <v>630</v>
      </c>
      <c r="X99" s="110" t="s">
        <v>536</v>
      </c>
      <c r="Y99" s="110" t="s">
        <v>537</v>
      </c>
      <c r="Z99" s="110"/>
      <c r="AA99" s="112" t="s">
        <v>63</v>
      </c>
    </row>
    <row r="100" s="100" customFormat="1" ht="97" customHeight="1" spans="1:27">
      <c r="A100" s="110">
        <v>86</v>
      </c>
      <c r="B100" s="110" t="s">
        <v>516</v>
      </c>
      <c r="C100" s="110" t="s">
        <v>539</v>
      </c>
      <c r="D100" s="110" t="s">
        <v>35</v>
      </c>
      <c r="E100" s="110" t="s">
        <v>39</v>
      </c>
      <c r="F100" s="133" t="s">
        <v>40</v>
      </c>
      <c r="G100" s="112" t="s">
        <v>540</v>
      </c>
      <c r="H100" s="113" t="s">
        <v>541</v>
      </c>
      <c r="I100" s="112" t="s">
        <v>164</v>
      </c>
      <c r="J100" s="112">
        <v>1</v>
      </c>
      <c r="K100" s="118">
        <f t="shared" si="23"/>
        <v>120</v>
      </c>
      <c r="L100" s="118">
        <f t="shared" si="24"/>
        <v>120</v>
      </c>
      <c r="M100" s="118"/>
      <c r="N100" s="119"/>
      <c r="O100" s="119"/>
      <c r="P100" s="119">
        <v>120</v>
      </c>
      <c r="Q100" s="112"/>
      <c r="R100" s="112"/>
      <c r="S100" s="112"/>
      <c r="T100" s="112"/>
      <c r="U100" s="133"/>
      <c r="V100" s="133"/>
      <c r="W100" s="112">
        <v>2000</v>
      </c>
      <c r="X100" s="110" t="s">
        <v>536</v>
      </c>
      <c r="Y100" s="110" t="s">
        <v>537</v>
      </c>
      <c r="Z100" s="110"/>
      <c r="AA100" s="112" t="s">
        <v>63</v>
      </c>
    </row>
    <row r="101" s="100" customFormat="1" ht="97" customHeight="1" spans="1:27">
      <c r="A101" s="110">
        <v>87</v>
      </c>
      <c r="B101" s="110" t="s">
        <v>522</v>
      </c>
      <c r="C101" s="110" t="s">
        <v>543</v>
      </c>
      <c r="D101" s="110" t="s">
        <v>35</v>
      </c>
      <c r="E101" s="110" t="s">
        <v>71</v>
      </c>
      <c r="F101" s="110" t="s">
        <v>40</v>
      </c>
      <c r="G101" s="110" t="s">
        <v>402</v>
      </c>
      <c r="H101" s="111" t="s">
        <v>544</v>
      </c>
      <c r="I101" s="112" t="s">
        <v>43</v>
      </c>
      <c r="J101" s="110">
        <v>600</v>
      </c>
      <c r="K101" s="118">
        <f t="shared" si="23"/>
        <v>980</v>
      </c>
      <c r="L101" s="118">
        <f t="shared" si="24"/>
        <v>980</v>
      </c>
      <c r="M101" s="118"/>
      <c r="N101" s="119">
        <v>980</v>
      </c>
      <c r="O101" s="119"/>
      <c r="P101" s="119"/>
      <c r="Q101" s="112"/>
      <c r="R101" s="112"/>
      <c r="S101" s="112"/>
      <c r="T101" s="112"/>
      <c r="U101" s="133"/>
      <c r="V101" s="133"/>
      <c r="W101" s="112">
        <v>100</v>
      </c>
      <c r="X101" s="110" t="s">
        <v>855</v>
      </c>
      <c r="Y101" s="110" t="s">
        <v>856</v>
      </c>
      <c r="Z101" s="110"/>
      <c r="AA101" s="112" t="s">
        <v>63</v>
      </c>
    </row>
    <row r="102" s="100" customFormat="1" ht="119" customHeight="1" spans="1:27">
      <c r="A102" s="110">
        <v>88</v>
      </c>
      <c r="B102" s="110" t="s">
        <v>528</v>
      </c>
      <c r="C102" s="110" t="s">
        <v>559</v>
      </c>
      <c r="D102" s="110" t="s">
        <v>35</v>
      </c>
      <c r="E102" s="110" t="s">
        <v>71</v>
      </c>
      <c r="F102" s="110" t="s">
        <v>40</v>
      </c>
      <c r="G102" s="110" t="s">
        <v>402</v>
      </c>
      <c r="H102" s="111" t="s">
        <v>909</v>
      </c>
      <c r="I102" s="112" t="s">
        <v>561</v>
      </c>
      <c r="J102" s="110">
        <v>21</v>
      </c>
      <c r="K102" s="118">
        <f t="shared" si="23"/>
        <v>1700</v>
      </c>
      <c r="L102" s="118">
        <f t="shared" si="24"/>
        <v>1700</v>
      </c>
      <c r="M102" s="118"/>
      <c r="N102" s="118">
        <v>1700</v>
      </c>
      <c r="O102" s="118"/>
      <c r="P102" s="118"/>
      <c r="Q102" s="110"/>
      <c r="R102" s="110"/>
      <c r="S102" s="110"/>
      <c r="T102" s="110"/>
      <c r="U102" s="110"/>
      <c r="V102" s="110"/>
      <c r="W102" s="110">
        <v>3000</v>
      </c>
      <c r="X102" s="110" t="s">
        <v>727</v>
      </c>
      <c r="Y102" s="110" t="s">
        <v>728</v>
      </c>
      <c r="Z102" s="110"/>
      <c r="AA102" s="112" t="s">
        <v>63</v>
      </c>
    </row>
    <row r="103" s="100" customFormat="1" ht="105" customHeight="1" spans="1:27">
      <c r="A103" s="110">
        <v>89</v>
      </c>
      <c r="B103" s="110" t="s">
        <v>532</v>
      </c>
      <c r="C103" s="110" t="s">
        <v>564</v>
      </c>
      <c r="D103" s="110" t="s">
        <v>35</v>
      </c>
      <c r="E103" s="110" t="s">
        <v>39</v>
      </c>
      <c r="F103" s="110" t="s">
        <v>40</v>
      </c>
      <c r="G103" s="110" t="s">
        <v>192</v>
      </c>
      <c r="H103" s="111" t="s">
        <v>910</v>
      </c>
      <c r="I103" s="110" t="s">
        <v>561</v>
      </c>
      <c r="J103" s="110">
        <v>4</v>
      </c>
      <c r="K103" s="118">
        <f t="shared" si="23"/>
        <v>280</v>
      </c>
      <c r="L103" s="118">
        <f t="shared" si="24"/>
        <v>280</v>
      </c>
      <c r="M103" s="118"/>
      <c r="N103" s="118"/>
      <c r="O103" s="118"/>
      <c r="P103" s="118">
        <v>280</v>
      </c>
      <c r="Q103" s="110"/>
      <c r="R103" s="110"/>
      <c r="S103" s="110"/>
      <c r="T103" s="110"/>
      <c r="U103" s="110"/>
      <c r="V103" s="110"/>
      <c r="W103" s="110">
        <v>450</v>
      </c>
      <c r="X103" s="110" t="s">
        <v>727</v>
      </c>
      <c r="Y103" s="110" t="s">
        <v>728</v>
      </c>
      <c r="Z103" s="110"/>
      <c r="AA103" s="112" t="s">
        <v>63</v>
      </c>
    </row>
    <row r="104" s="100" customFormat="1" ht="105" customHeight="1" spans="1:27">
      <c r="A104" s="110">
        <v>90</v>
      </c>
      <c r="B104" s="110" t="s">
        <v>538</v>
      </c>
      <c r="C104" s="110" t="s">
        <v>568</v>
      </c>
      <c r="D104" s="110" t="s">
        <v>35</v>
      </c>
      <c r="E104" s="110" t="s">
        <v>39</v>
      </c>
      <c r="F104" s="110" t="s">
        <v>40</v>
      </c>
      <c r="G104" s="110" t="s">
        <v>197</v>
      </c>
      <c r="H104" s="111" t="s">
        <v>911</v>
      </c>
      <c r="I104" s="110" t="s">
        <v>561</v>
      </c>
      <c r="J104" s="110">
        <v>28.4</v>
      </c>
      <c r="K104" s="118">
        <f t="shared" si="23"/>
        <v>2130</v>
      </c>
      <c r="L104" s="118">
        <f t="shared" si="24"/>
        <v>2130</v>
      </c>
      <c r="M104" s="118">
        <f>28.4*75-210</f>
        <v>1920</v>
      </c>
      <c r="N104" s="118"/>
      <c r="O104" s="118"/>
      <c r="P104" s="118"/>
      <c r="Q104" s="110"/>
      <c r="R104" s="110">
        <v>210</v>
      </c>
      <c r="S104" s="110"/>
      <c r="T104" s="110"/>
      <c r="U104" s="110"/>
      <c r="V104" s="110"/>
      <c r="W104" s="110">
        <v>1020</v>
      </c>
      <c r="X104" s="110" t="s">
        <v>727</v>
      </c>
      <c r="Y104" s="110" t="s">
        <v>728</v>
      </c>
      <c r="Z104" s="110"/>
      <c r="AA104" s="112" t="s">
        <v>63</v>
      </c>
    </row>
    <row r="105" s="100" customFormat="1" ht="105" customHeight="1" spans="1:27">
      <c r="A105" s="110">
        <v>91</v>
      </c>
      <c r="B105" s="110" t="s">
        <v>542</v>
      </c>
      <c r="C105" s="110" t="s">
        <v>572</v>
      </c>
      <c r="D105" s="110" t="s">
        <v>35</v>
      </c>
      <c r="E105" s="110" t="s">
        <v>39</v>
      </c>
      <c r="F105" s="110" t="s">
        <v>40</v>
      </c>
      <c r="G105" s="110" t="s">
        <v>202</v>
      </c>
      <c r="H105" s="111" t="s">
        <v>912</v>
      </c>
      <c r="I105" s="110" t="s">
        <v>561</v>
      </c>
      <c r="J105" s="110">
        <v>16</v>
      </c>
      <c r="K105" s="118">
        <f t="shared" si="23"/>
        <v>1200</v>
      </c>
      <c r="L105" s="118">
        <f t="shared" si="24"/>
        <v>1200</v>
      </c>
      <c r="M105" s="118"/>
      <c r="N105" s="118">
        <v>1200</v>
      </c>
      <c r="O105" s="118"/>
      <c r="P105" s="118"/>
      <c r="Q105" s="110"/>
      <c r="R105" s="110"/>
      <c r="S105" s="110"/>
      <c r="T105" s="110"/>
      <c r="U105" s="110"/>
      <c r="V105" s="110"/>
      <c r="W105" s="110">
        <v>1200</v>
      </c>
      <c r="X105" s="110" t="s">
        <v>727</v>
      </c>
      <c r="Y105" s="110" t="s">
        <v>728</v>
      </c>
      <c r="Z105" s="110"/>
      <c r="AA105" s="112" t="s">
        <v>63</v>
      </c>
    </row>
    <row r="106" s="100" customFormat="1" ht="105" customHeight="1" spans="1:27">
      <c r="A106" s="110">
        <v>92</v>
      </c>
      <c r="B106" s="110" t="s">
        <v>545</v>
      </c>
      <c r="C106" s="110" t="s">
        <v>576</v>
      </c>
      <c r="D106" s="110" t="s">
        <v>35</v>
      </c>
      <c r="E106" s="110" t="s">
        <v>39</v>
      </c>
      <c r="F106" s="110" t="s">
        <v>40</v>
      </c>
      <c r="G106" s="110" t="s">
        <v>207</v>
      </c>
      <c r="H106" s="111" t="s">
        <v>913</v>
      </c>
      <c r="I106" s="110" t="s">
        <v>561</v>
      </c>
      <c r="J106" s="110">
        <v>17</v>
      </c>
      <c r="K106" s="118">
        <f t="shared" si="23"/>
        <v>1275</v>
      </c>
      <c r="L106" s="118">
        <f t="shared" si="24"/>
        <v>1275</v>
      </c>
      <c r="M106" s="118"/>
      <c r="N106" s="118">
        <v>1275</v>
      </c>
      <c r="O106" s="118"/>
      <c r="P106" s="118"/>
      <c r="Q106" s="110"/>
      <c r="R106" s="110"/>
      <c r="S106" s="110"/>
      <c r="T106" s="110"/>
      <c r="U106" s="110"/>
      <c r="V106" s="110"/>
      <c r="W106" s="110">
        <v>525</v>
      </c>
      <c r="X106" s="110" t="s">
        <v>727</v>
      </c>
      <c r="Y106" s="110" t="s">
        <v>728</v>
      </c>
      <c r="Z106" s="110"/>
      <c r="AA106" s="112" t="s">
        <v>63</v>
      </c>
    </row>
    <row r="107" s="100" customFormat="1" ht="105" customHeight="1" spans="1:27">
      <c r="A107" s="110">
        <v>93</v>
      </c>
      <c r="B107" s="110" t="s">
        <v>553</v>
      </c>
      <c r="C107" s="110" t="s">
        <v>580</v>
      </c>
      <c r="D107" s="110" t="s">
        <v>35</v>
      </c>
      <c r="E107" s="110" t="s">
        <v>39</v>
      </c>
      <c r="F107" s="110" t="s">
        <v>40</v>
      </c>
      <c r="G107" s="110" t="s">
        <v>212</v>
      </c>
      <c r="H107" s="111" t="s">
        <v>914</v>
      </c>
      <c r="I107" s="110" t="s">
        <v>561</v>
      </c>
      <c r="J107" s="110">
        <v>12.264</v>
      </c>
      <c r="K107" s="118">
        <f t="shared" si="23"/>
        <v>919.8</v>
      </c>
      <c r="L107" s="118">
        <f t="shared" si="24"/>
        <v>919.8</v>
      </c>
      <c r="M107" s="118"/>
      <c r="N107" s="118"/>
      <c r="O107" s="118"/>
      <c r="P107" s="118">
        <v>919.8</v>
      </c>
      <c r="Q107" s="110"/>
      <c r="R107" s="110"/>
      <c r="S107" s="110"/>
      <c r="T107" s="110"/>
      <c r="U107" s="110"/>
      <c r="V107" s="110"/>
      <c r="W107" s="110">
        <v>1027</v>
      </c>
      <c r="X107" s="110" t="s">
        <v>727</v>
      </c>
      <c r="Y107" s="110" t="s">
        <v>728</v>
      </c>
      <c r="Z107" s="110"/>
      <c r="AA107" s="112" t="s">
        <v>63</v>
      </c>
    </row>
    <row r="108" s="100" customFormat="1" ht="105" customHeight="1" spans="1:27">
      <c r="A108" s="110">
        <v>94</v>
      </c>
      <c r="B108" s="110" t="s">
        <v>558</v>
      </c>
      <c r="C108" s="110" t="s">
        <v>584</v>
      </c>
      <c r="D108" s="110" t="s">
        <v>35</v>
      </c>
      <c r="E108" s="110" t="s">
        <v>39</v>
      </c>
      <c r="F108" s="110" t="s">
        <v>40</v>
      </c>
      <c r="G108" s="110" t="s">
        <v>222</v>
      </c>
      <c r="H108" s="111" t="s">
        <v>585</v>
      </c>
      <c r="I108" s="110" t="s">
        <v>561</v>
      </c>
      <c r="J108" s="110">
        <v>5.5</v>
      </c>
      <c r="K108" s="118">
        <f t="shared" si="23"/>
        <v>412.5</v>
      </c>
      <c r="L108" s="118">
        <f t="shared" si="24"/>
        <v>412.5</v>
      </c>
      <c r="M108" s="118"/>
      <c r="N108" s="118"/>
      <c r="O108" s="118"/>
      <c r="P108" s="118">
        <f>J108*75</f>
        <v>412.5</v>
      </c>
      <c r="Q108" s="110"/>
      <c r="R108" s="110"/>
      <c r="S108" s="110"/>
      <c r="T108" s="110"/>
      <c r="U108" s="110"/>
      <c r="V108" s="110"/>
      <c r="W108" s="110">
        <v>375</v>
      </c>
      <c r="X108" s="110" t="s">
        <v>727</v>
      </c>
      <c r="Y108" s="110" t="s">
        <v>728</v>
      </c>
      <c r="Z108" s="110"/>
      <c r="AA108" s="112" t="s">
        <v>63</v>
      </c>
    </row>
    <row r="109" s="100" customFormat="1" ht="105" customHeight="1" spans="1:27">
      <c r="A109" s="110">
        <v>95</v>
      </c>
      <c r="B109" s="110" t="s">
        <v>563</v>
      </c>
      <c r="C109" s="110" t="s">
        <v>588</v>
      </c>
      <c r="D109" s="110" t="s">
        <v>35</v>
      </c>
      <c r="E109" s="110" t="s">
        <v>39</v>
      </c>
      <c r="F109" s="110" t="s">
        <v>40</v>
      </c>
      <c r="G109" s="110" t="s">
        <v>589</v>
      </c>
      <c r="H109" s="111" t="s">
        <v>915</v>
      </c>
      <c r="I109" s="110" t="s">
        <v>561</v>
      </c>
      <c r="J109" s="110">
        <v>14.6</v>
      </c>
      <c r="K109" s="118">
        <f t="shared" si="23"/>
        <v>1095</v>
      </c>
      <c r="L109" s="118">
        <f t="shared" si="24"/>
        <v>1095</v>
      </c>
      <c r="M109" s="118"/>
      <c r="N109" s="118">
        <v>1095</v>
      </c>
      <c r="O109" s="118"/>
      <c r="P109" s="118"/>
      <c r="Q109" s="110"/>
      <c r="R109" s="110"/>
      <c r="S109" s="110"/>
      <c r="T109" s="110"/>
      <c r="U109" s="110"/>
      <c r="V109" s="110"/>
      <c r="W109" s="110">
        <v>1095</v>
      </c>
      <c r="X109" s="110" t="s">
        <v>727</v>
      </c>
      <c r="Y109" s="110" t="s">
        <v>728</v>
      </c>
      <c r="Z109" s="110"/>
      <c r="AA109" s="112" t="s">
        <v>63</v>
      </c>
    </row>
    <row r="110" s="100" customFormat="1" ht="105" customHeight="1" spans="1:27">
      <c r="A110" s="110">
        <v>96</v>
      </c>
      <c r="B110" s="110" t="s">
        <v>567</v>
      </c>
      <c r="C110" s="110" t="s">
        <v>593</v>
      </c>
      <c r="D110" s="110" t="s">
        <v>35</v>
      </c>
      <c r="E110" s="110" t="s">
        <v>39</v>
      </c>
      <c r="F110" s="110" t="s">
        <v>40</v>
      </c>
      <c r="G110" s="110" t="s">
        <v>227</v>
      </c>
      <c r="H110" s="111" t="s">
        <v>916</v>
      </c>
      <c r="I110" s="110" t="s">
        <v>561</v>
      </c>
      <c r="J110" s="110">
        <v>10.7</v>
      </c>
      <c r="K110" s="118">
        <f t="shared" si="23"/>
        <v>802.5</v>
      </c>
      <c r="L110" s="118">
        <f t="shared" si="24"/>
        <v>802.5</v>
      </c>
      <c r="M110" s="118"/>
      <c r="N110" s="118">
        <v>802.5</v>
      </c>
      <c r="O110" s="118"/>
      <c r="P110" s="118"/>
      <c r="Q110" s="110"/>
      <c r="R110" s="110"/>
      <c r="S110" s="110"/>
      <c r="T110" s="110"/>
      <c r="U110" s="110"/>
      <c r="V110" s="110"/>
      <c r="W110" s="110">
        <v>802</v>
      </c>
      <c r="X110" s="110" t="s">
        <v>727</v>
      </c>
      <c r="Y110" s="110" t="s">
        <v>728</v>
      </c>
      <c r="Z110" s="110"/>
      <c r="AA110" s="112" t="s">
        <v>63</v>
      </c>
    </row>
    <row r="111" s="100" customFormat="1" ht="105" customHeight="1" spans="1:27">
      <c r="A111" s="110">
        <v>97</v>
      </c>
      <c r="B111" s="110" t="s">
        <v>571</v>
      </c>
      <c r="C111" s="110" t="s">
        <v>597</v>
      </c>
      <c r="D111" s="110" t="s">
        <v>35</v>
      </c>
      <c r="E111" s="110" t="s">
        <v>39</v>
      </c>
      <c r="F111" s="110" t="s">
        <v>40</v>
      </c>
      <c r="G111" s="110" t="s">
        <v>237</v>
      </c>
      <c r="H111" s="111" t="s">
        <v>917</v>
      </c>
      <c r="I111" s="110" t="s">
        <v>561</v>
      </c>
      <c r="J111" s="110">
        <v>20</v>
      </c>
      <c r="K111" s="118">
        <f t="shared" si="23"/>
        <v>1500</v>
      </c>
      <c r="L111" s="118">
        <f t="shared" si="24"/>
        <v>1500</v>
      </c>
      <c r="M111" s="118">
        <v>1500</v>
      </c>
      <c r="N111" s="118"/>
      <c r="O111" s="118"/>
      <c r="P111" s="118"/>
      <c r="Q111" s="110"/>
      <c r="R111" s="110"/>
      <c r="S111" s="110"/>
      <c r="T111" s="110"/>
      <c r="U111" s="110"/>
      <c r="V111" s="110"/>
      <c r="W111" s="110">
        <v>1500</v>
      </c>
      <c r="X111" s="110" t="s">
        <v>727</v>
      </c>
      <c r="Y111" s="110" t="s">
        <v>728</v>
      </c>
      <c r="Z111" s="110"/>
      <c r="AA111" s="112" t="s">
        <v>63</v>
      </c>
    </row>
    <row r="112" s="100" customFormat="1" ht="105" customHeight="1" spans="1:27">
      <c r="A112" s="110">
        <v>98</v>
      </c>
      <c r="B112" s="110" t="s">
        <v>575</v>
      </c>
      <c r="C112" s="110" t="s">
        <v>601</v>
      </c>
      <c r="D112" s="110" t="s">
        <v>35</v>
      </c>
      <c r="E112" s="110" t="s">
        <v>39</v>
      </c>
      <c r="F112" s="110" t="s">
        <v>40</v>
      </c>
      <c r="G112" s="110" t="s">
        <v>242</v>
      </c>
      <c r="H112" s="111" t="s">
        <v>917</v>
      </c>
      <c r="I112" s="110" t="s">
        <v>561</v>
      </c>
      <c r="J112" s="110">
        <v>20</v>
      </c>
      <c r="K112" s="118">
        <f t="shared" si="23"/>
        <v>1500</v>
      </c>
      <c r="L112" s="118">
        <f t="shared" si="24"/>
        <v>1500</v>
      </c>
      <c r="M112" s="118">
        <v>1500</v>
      </c>
      <c r="N112" s="118"/>
      <c r="O112" s="118"/>
      <c r="P112" s="118"/>
      <c r="Q112" s="110"/>
      <c r="R112" s="110"/>
      <c r="S112" s="110"/>
      <c r="T112" s="110"/>
      <c r="U112" s="110"/>
      <c r="V112" s="110"/>
      <c r="W112" s="110">
        <v>1500</v>
      </c>
      <c r="X112" s="110" t="s">
        <v>727</v>
      </c>
      <c r="Y112" s="110" t="s">
        <v>728</v>
      </c>
      <c r="Z112" s="110"/>
      <c r="AA112" s="112" t="s">
        <v>63</v>
      </c>
    </row>
    <row r="113" s="100" customFormat="1" ht="105" customHeight="1" spans="1:27">
      <c r="A113" s="110">
        <v>99</v>
      </c>
      <c r="B113" s="110" t="s">
        <v>579</v>
      </c>
      <c r="C113" s="110" t="s">
        <v>604</v>
      </c>
      <c r="D113" s="110" t="s">
        <v>35</v>
      </c>
      <c r="E113" s="110" t="s">
        <v>39</v>
      </c>
      <c r="F113" s="110" t="s">
        <v>40</v>
      </c>
      <c r="G113" s="110" t="s">
        <v>247</v>
      </c>
      <c r="H113" s="111" t="s">
        <v>918</v>
      </c>
      <c r="I113" s="110" t="s">
        <v>561</v>
      </c>
      <c r="J113" s="110">
        <v>23.1</v>
      </c>
      <c r="K113" s="118">
        <f t="shared" si="23"/>
        <v>1732.5</v>
      </c>
      <c r="L113" s="118">
        <f t="shared" si="24"/>
        <v>1732.5</v>
      </c>
      <c r="M113" s="118"/>
      <c r="N113" s="118">
        <v>1732.5</v>
      </c>
      <c r="O113" s="118"/>
      <c r="P113" s="118"/>
      <c r="Q113" s="110"/>
      <c r="R113" s="110"/>
      <c r="S113" s="110"/>
      <c r="T113" s="110"/>
      <c r="U113" s="110"/>
      <c r="V113" s="110"/>
      <c r="W113" s="110">
        <v>1732</v>
      </c>
      <c r="X113" s="110" t="s">
        <v>727</v>
      </c>
      <c r="Y113" s="110" t="s">
        <v>728</v>
      </c>
      <c r="Z113" s="110"/>
      <c r="AA113" s="112" t="s">
        <v>63</v>
      </c>
    </row>
    <row r="114" s="100" customFormat="1" ht="105" customHeight="1" spans="1:27">
      <c r="A114" s="110">
        <v>100</v>
      </c>
      <c r="B114" s="110" t="s">
        <v>583</v>
      </c>
      <c r="C114" s="110" t="s">
        <v>608</v>
      </c>
      <c r="D114" s="110" t="s">
        <v>35</v>
      </c>
      <c r="E114" s="110" t="s">
        <v>39</v>
      </c>
      <c r="F114" s="110" t="s">
        <v>40</v>
      </c>
      <c r="G114" s="110" t="s">
        <v>609</v>
      </c>
      <c r="H114" s="111" t="s">
        <v>919</v>
      </c>
      <c r="I114" s="110" t="s">
        <v>561</v>
      </c>
      <c r="J114" s="110">
        <v>7.2</v>
      </c>
      <c r="K114" s="118">
        <f t="shared" si="23"/>
        <v>540</v>
      </c>
      <c r="L114" s="118">
        <f t="shared" si="24"/>
        <v>540</v>
      </c>
      <c r="M114" s="118">
        <v>540</v>
      </c>
      <c r="N114" s="118"/>
      <c r="O114" s="118"/>
      <c r="P114" s="118"/>
      <c r="Q114" s="110"/>
      <c r="R114" s="110"/>
      <c r="S114" s="110"/>
      <c r="T114" s="110"/>
      <c r="U114" s="110"/>
      <c r="V114" s="110"/>
      <c r="W114" s="110">
        <v>540</v>
      </c>
      <c r="X114" s="110" t="s">
        <v>727</v>
      </c>
      <c r="Y114" s="110" t="s">
        <v>728</v>
      </c>
      <c r="Z114" s="110"/>
      <c r="AA114" s="112" t="s">
        <v>857</v>
      </c>
    </row>
    <row r="115" s="100" customFormat="1" ht="105" customHeight="1" spans="1:27">
      <c r="A115" s="110">
        <v>101</v>
      </c>
      <c r="B115" s="110" t="s">
        <v>587</v>
      </c>
      <c r="C115" s="110" t="s">
        <v>613</v>
      </c>
      <c r="D115" s="110" t="s">
        <v>35</v>
      </c>
      <c r="E115" s="110" t="s">
        <v>39</v>
      </c>
      <c r="F115" s="110" t="s">
        <v>40</v>
      </c>
      <c r="G115" s="110" t="s">
        <v>252</v>
      </c>
      <c r="H115" s="111" t="s">
        <v>917</v>
      </c>
      <c r="I115" s="110" t="s">
        <v>561</v>
      </c>
      <c r="J115" s="110">
        <v>20</v>
      </c>
      <c r="K115" s="118">
        <f t="shared" si="23"/>
        <v>1500</v>
      </c>
      <c r="L115" s="118">
        <f t="shared" si="24"/>
        <v>1500</v>
      </c>
      <c r="M115" s="118">
        <v>1500</v>
      </c>
      <c r="N115" s="118"/>
      <c r="O115" s="118"/>
      <c r="P115" s="118"/>
      <c r="Q115" s="110"/>
      <c r="R115" s="110"/>
      <c r="S115" s="110"/>
      <c r="T115" s="110"/>
      <c r="U115" s="110"/>
      <c r="V115" s="110"/>
      <c r="W115" s="110">
        <v>1500</v>
      </c>
      <c r="X115" s="110" t="s">
        <v>727</v>
      </c>
      <c r="Y115" s="110" t="s">
        <v>728</v>
      </c>
      <c r="Z115" s="110"/>
      <c r="AA115" s="112" t="s">
        <v>63</v>
      </c>
    </row>
    <row r="116" s="100" customFormat="1" ht="105" customHeight="1" spans="1:27">
      <c r="A116" s="110">
        <v>102</v>
      </c>
      <c r="B116" s="110" t="s">
        <v>592</v>
      </c>
      <c r="C116" s="110" t="s">
        <v>615</v>
      </c>
      <c r="D116" s="110" t="s">
        <v>35</v>
      </c>
      <c r="E116" s="110" t="s">
        <v>39</v>
      </c>
      <c r="F116" s="110" t="s">
        <v>40</v>
      </c>
      <c r="G116" s="110" t="s">
        <v>257</v>
      </c>
      <c r="H116" s="111" t="s">
        <v>920</v>
      </c>
      <c r="I116" s="110" t="s">
        <v>561</v>
      </c>
      <c r="J116" s="110">
        <v>10</v>
      </c>
      <c r="K116" s="118">
        <f t="shared" si="23"/>
        <v>750</v>
      </c>
      <c r="L116" s="118">
        <f t="shared" si="24"/>
        <v>750</v>
      </c>
      <c r="M116" s="118">
        <v>750</v>
      </c>
      <c r="N116" s="118"/>
      <c r="O116" s="118"/>
      <c r="P116" s="118"/>
      <c r="Q116" s="110"/>
      <c r="R116" s="110"/>
      <c r="S116" s="110"/>
      <c r="T116" s="110"/>
      <c r="U116" s="110"/>
      <c r="V116" s="110"/>
      <c r="W116" s="110">
        <v>562</v>
      </c>
      <c r="X116" s="110" t="s">
        <v>727</v>
      </c>
      <c r="Y116" s="110" t="s">
        <v>728</v>
      </c>
      <c r="Z116" s="110"/>
      <c r="AA116" s="112" t="s">
        <v>63</v>
      </c>
    </row>
    <row r="117" s="100" customFormat="1" ht="105" customHeight="1" spans="1:27">
      <c r="A117" s="110">
        <v>103</v>
      </c>
      <c r="B117" s="110" t="s">
        <v>596</v>
      </c>
      <c r="C117" s="110" t="s">
        <v>619</v>
      </c>
      <c r="D117" s="110" t="s">
        <v>35</v>
      </c>
      <c r="E117" s="110" t="s">
        <v>39</v>
      </c>
      <c r="F117" s="110" t="s">
        <v>40</v>
      </c>
      <c r="G117" s="110" t="s">
        <v>262</v>
      </c>
      <c r="H117" s="111" t="s">
        <v>917</v>
      </c>
      <c r="I117" s="110" t="s">
        <v>561</v>
      </c>
      <c r="J117" s="110">
        <v>20</v>
      </c>
      <c r="K117" s="118">
        <f t="shared" si="23"/>
        <v>1500</v>
      </c>
      <c r="L117" s="118">
        <f t="shared" si="24"/>
        <v>1500</v>
      </c>
      <c r="M117" s="118">
        <v>1500</v>
      </c>
      <c r="N117" s="118"/>
      <c r="O117" s="118"/>
      <c r="P117" s="118"/>
      <c r="Q117" s="110"/>
      <c r="R117" s="110"/>
      <c r="S117" s="110"/>
      <c r="T117" s="110"/>
      <c r="U117" s="110"/>
      <c r="V117" s="110"/>
      <c r="W117" s="110">
        <v>1500</v>
      </c>
      <c r="X117" s="110" t="s">
        <v>727</v>
      </c>
      <c r="Y117" s="110" t="s">
        <v>728</v>
      </c>
      <c r="Z117" s="110"/>
      <c r="AA117" s="112" t="s">
        <v>63</v>
      </c>
    </row>
    <row r="118" s="100" customFormat="1" ht="105" customHeight="1" spans="1:27">
      <c r="A118" s="110">
        <v>104</v>
      </c>
      <c r="B118" s="110" t="s">
        <v>600</v>
      </c>
      <c r="C118" s="110" t="s">
        <v>621</v>
      </c>
      <c r="D118" s="110" t="s">
        <v>35</v>
      </c>
      <c r="E118" s="110" t="s">
        <v>39</v>
      </c>
      <c r="F118" s="110" t="s">
        <v>40</v>
      </c>
      <c r="G118" s="110" t="s">
        <v>267</v>
      </c>
      <c r="H118" s="111" t="s">
        <v>921</v>
      </c>
      <c r="I118" s="110" t="s">
        <v>561</v>
      </c>
      <c r="J118" s="110">
        <v>11.2</v>
      </c>
      <c r="K118" s="118">
        <f t="shared" si="23"/>
        <v>840</v>
      </c>
      <c r="L118" s="118">
        <f t="shared" si="24"/>
        <v>840</v>
      </c>
      <c r="M118" s="118">
        <v>399</v>
      </c>
      <c r="N118" s="118"/>
      <c r="O118" s="118"/>
      <c r="P118" s="118">
        <v>441</v>
      </c>
      <c r="Q118" s="110"/>
      <c r="R118" s="110"/>
      <c r="S118" s="110"/>
      <c r="T118" s="110"/>
      <c r="U118" s="110"/>
      <c r="V118" s="110"/>
      <c r="W118" s="110">
        <v>840</v>
      </c>
      <c r="X118" s="110" t="s">
        <v>727</v>
      </c>
      <c r="Y118" s="110" t="s">
        <v>728</v>
      </c>
      <c r="Z118" s="110"/>
      <c r="AA118" s="112" t="s">
        <v>63</v>
      </c>
    </row>
    <row r="119" s="100" customFormat="1" ht="105" customHeight="1" spans="1:27">
      <c r="A119" s="110">
        <v>105</v>
      </c>
      <c r="B119" s="110" t="s">
        <v>603</v>
      </c>
      <c r="C119" s="110" t="s">
        <v>625</v>
      </c>
      <c r="D119" s="110" t="s">
        <v>35</v>
      </c>
      <c r="E119" s="110" t="s">
        <v>39</v>
      </c>
      <c r="F119" s="110" t="s">
        <v>40</v>
      </c>
      <c r="G119" s="110" t="s">
        <v>232</v>
      </c>
      <c r="H119" s="111" t="s">
        <v>920</v>
      </c>
      <c r="I119" s="110" t="s">
        <v>561</v>
      </c>
      <c r="J119" s="110">
        <v>10</v>
      </c>
      <c r="K119" s="118">
        <f t="shared" si="23"/>
        <v>750</v>
      </c>
      <c r="L119" s="118">
        <f t="shared" si="24"/>
        <v>750</v>
      </c>
      <c r="M119" s="118">
        <v>750</v>
      </c>
      <c r="N119" s="118"/>
      <c r="O119" s="118"/>
      <c r="P119" s="118"/>
      <c r="Q119" s="110"/>
      <c r="R119" s="110"/>
      <c r="S119" s="110"/>
      <c r="T119" s="110"/>
      <c r="U119" s="110"/>
      <c r="V119" s="110"/>
      <c r="W119" s="110">
        <v>750</v>
      </c>
      <c r="X119" s="110" t="s">
        <v>727</v>
      </c>
      <c r="Y119" s="110" t="s">
        <v>728</v>
      </c>
      <c r="Z119" s="110"/>
      <c r="AA119" s="112" t="s">
        <v>63</v>
      </c>
    </row>
    <row r="120" s="101" customFormat="1" ht="43" customHeight="1" spans="1:27">
      <c r="A120" s="116" t="s">
        <v>628</v>
      </c>
      <c r="B120" s="116" t="s">
        <v>629</v>
      </c>
      <c r="C120" s="116"/>
      <c r="D120" s="115"/>
      <c r="E120" s="116"/>
      <c r="F120" s="116"/>
      <c r="G120" s="116"/>
      <c r="H120" s="116">
        <v>7</v>
      </c>
      <c r="I120" s="120"/>
      <c r="J120" s="120">
        <f>K120/K7</f>
        <v>0.0406815380350196</v>
      </c>
      <c r="K120" s="121">
        <f t="shared" ref="K120:V120" si="25">SUM(K121:K127)</f>
        <v>5388.12</v>
      </c>
      <c r="L120" s="121">
        <f t="shared" si="25"/>
        <v>5271</v>
      </c>
      <c r="M120" s="121">
        <f t="shared" si="25"/>
        <v>437.4</v>
      </c>
      <c r="N120" s="121">
        <f t="shared" si="25"/>
        <v>4833.6</v>
      </c>
      <c r="O120" s="121">
        <f t="shared" si="25"/>
        <v>0</v>
      </c>
      <c r="P120" s="121">
        <f t="shared" si="25"/>
        <v>0</v>
      </c>
      <c r="Q120" s="121">
        <f t="shared" si="25"/>
        <v>0</v>
      </c>
      <c r="R120" s="121">
        <f t="shared" si="25"/>
        <v>0</v>
      </c>
      <c r="S120" s="121">
        <f t="shared" si="25"/>
        <v>0</v>
      </c>
      <c r="T120" s="121">
        <f t="shared" si="25"/>
        <v>0</v>
      </c>
      <c r="U120" s="121">
        <f t="shared" si="25"/>
        <v>117.12</v>
      </c>
      <c r="V120" s="121">
        <f t="shared" si="25"/>
        <v>0</v>
      </c>
      <c r="W120" s="116"/>
      <c r="X120" s="121"/>
      <c r="Y120" s="121"/>
      <c r="Z120" s="121"/>
      <c r="AA120" s="131"/>
    </row>
    <row r="121" s="103" customFormat="1" ht="127" customHeight="1" spans="1:27">
      <c r="A121" s="110">
        <v>106</v>
      </c>
      <c r="B121" s="110" t="s">
        <v>607</v>
      </c>
      <c r="C121" s="110" t="s">
        <v>631</v>
      </c>
      <c r="D121" s="110" t="s">
        <v>632</v>
      </c>
      <c r="E121" s="110" t="s">
        <v>633</v>
      </c>
      <c r="F121" s="112" t="s">
        <v>40</v>
      </c>
      <c r="G121" s="110" t="s">
        <v>819</v>
      </c>
      <c r="H121" s="111" t="s">
        <v>634</v>
      </c>
      <c r="I121" s="112" t="s">
        <v>421</v>
      </c>
      <c r="J121" s="112">
        <v>1579</v>
      </c>
      <c r="K121" s="118">
        <f t="shared" ref="K121:K127" si="26">SUM(L121,T121:V121)</f>
        <v>1894.8</v>
      </c>
      <c r="L121" s="118">
        <f t="shared" ref="L121:L127" si="27">SUM(M121:S121)</f>
        <v>1894.8</v>
      </c>
      <c r="M121" s="118"/>
      <c r="N121" s="119">
        <v>1894.8</v>
      </c>
      <c r="O121" s="119"/>
      <c r="P121" s="119"/>
      <c r="Q121" s="112"/>
      <c r="R121" s="112"/>
      <c r="S121" s="112"/>
      <c r="T121" s="112"/>
      <c r="U121" s="112"/>
      <c r="V121" s="112"/>
      <c r="W121" s="112">
        <v>1579</v>
      </c>
      <c r="X121" s="112" t="s">
        <v>636</v>
      </c>
      <c r="Y121" s="112" t="s">
        <v>637</v>
      </c>
      <c r="Z121" s="110"/>
      <c r="AA121" s="112" t="s">
        <v>63</v>
      </c>
    </row>
    <row r="122" s="103" customFormat="1" ht="100" customHeight="1" spans="1:27">
      <c r="A122" s="110">
        <v>107</v>
      </c>
      <c r="B122" s="110" t="s">
        <v>612</v>
      </c>
      <c r="C122" s="110" t="s">
        <v>639</v>
      </c>
      <c r="D122" s="110" t="s">
        <v>632</v>
      </c>
      <c r="E122" s="110" t="s">
        <v>640</v>
      </c>
      <c r="F122" s="112" t="s">
        <v>40</v>
      </c>
      <c r="G122" s="110" t="s">
        <v>819</v>
      </c>
      <c r="H122" s="111" t="s">
        <v>641</v>
      </c>
      <c r="I122" s="110" t="s">
        <v>642</v>
      </c>
      <c r="J122" s="112">
        <v>1216</v>
      </c>
      <c r="K122" s="118">
        <f t="shared" si="26"/>
        <v>1276.8</v>
      </c>
      <c r="L122" s="118">
        <f t="shared" si="27"/>
        <v>1276.8</v>
      </c>
      <c r="M122" s="118"/>
      <c r="N122" s="119">
        <v>1276.8</v>
      </c>
      <c r="O122" s="119"/>
      <c r="P122" s="119"/>
      <c r="Q122" s="112"/>
      <c r="R122" s="112"/>
      <c r="S122" s="112"/>
      <c r="T122" s="112"/>
      <c r="U122" s="112"/>
      <c r="V122" s="112"/>
      <c r="W122" s="112">
        <v>1216</v>
      </c>
      <c r="X122" s="112" t="s">
        <v>644</v>
      </c>
      <c r="Y122" s="110" t="s">
        <v>645</v>
      </c>
      <c r="Z122" s="110"/>
      <c r="AA122" s="112" t="s">
        <v>63</v>
      </c>
    </row>
    <row r="123" s="100" customFormat="1" ht="161" customHeight="1" spans="1:27">
      <c r="A123" s="110">
        <v>108</v>
      </c>
      <c r="B123" s="110" t="s">
        <v>614</v>
      </c>
      <c r="C123" s="110" t="s">
        <v>647</v>
      </c>
      <c r="D123" s="110" t="s">
        <v>632</v>
      </c>
      <c r="E123" s="110" t="s">
        <v>648</v>
      </c>
      <c r="F123" s="110" t="s">
        <v>40</v>
      </c>
      <c r="G123" s="110" t="s">
        <v>819</v>
      </c>
      <c r="H123" s="111" t="s">
        <v>922</v>
      </c>
      <c r="I123" s="110" t="s">
        <v>642</v>
      </c>
      <c r="J123" s="110">
        <v>2187</v>
      </c>
      <c r="K123" s="118">
        <f t="shared" si="26"/>
        <v>437.4</v>
      </c>
      <c r="L123" s="118">
        <f t="shared" si="27"/>
        <v>437.4</v>
      </c>
      <c r="M123" s="118">
        <v>437.4</v>
      </c>
      <c r="N123" s="118"/>
      <c r="O123" s="118"/>
      <c r="P123" s="118"/>
      <c r="Q123" s="110"/>
      <c r="R123" s="110"/>
      <c r="S123" s="110"/>
      <c r="T123" s="110"/>
      <c r="U123" s="110"/>
      <c r="V123" s="110"/>
      <c r="W123" s="110">
        <v>2187</v>
      </c>
      <c r="X123" s="110" t="s">
        <v>644</v>
      </c>
      <c r="Y123" s="110" t="s">
        <v>645</v>
      </c>
      <c r="Z123" s="110"/>
      <c r="AA123" s="112" t="s">
        <v>63</v>
      </c>
    </row>
    <row r="124" s="100" customFormat="1" ht="161" customHeight="1" spans="1:27">
      <c r="A124" s="110">
        <v>109</v>
      </c>
      <c r="B124" s="110" t="s">
        <v>618</v>
      </c>
      <c r="C124" s="110" t="s">
        <v>652</v>
      </c>
      <c r="D124" s="110" t="s">
        <v>632</v>
      </c>
      <c r="E124" s="110" t="s">
        <v>648</v>
      </c>
      <c r="F124" s="110" t="s">
        <v>40</v>
      </c>
      <c r="G124" s="110" t="s">
        <v>819</v>
      </c>
      <c r="H124" s="111" t="s">
        <v>923</v>
      </c>
      <c r="I124" s="110" t="s">
        <v>642</v>
      </c>
      <c r="J124" s="110">
        <v>14276</v>
      </c>
      <c r="K124" s="118">
        <f t="shared" si="26"/>
        <v>1427.6</v>
      </c>
      <c r="L124" s="118">
        <f t="shared" si="27"/>
        <v>1427.6</v>
      </c>
      <c r="M124" s="118"/>
      <c r="N124" s="118">
        <v>1427.6</v>
      </c>
      <c r="O124" s="118"/>
      <c r="P124" s="118"/>
      <c r="Q124" s="110"/>
      <c r="R124" s="110"/>
      <c r="S124" s="110"/>
      <c r="T124" s="110"/>
      <c r="U124" s="110"/>
      <c r="V124" s="110"/>
      <c r="W124" s="110">
        <v>14276</v>
      </c>
      <c r="X124" s="110" t="s">
        <v>644</v>
      </c>
      <c r="Y124" s="110" t="s">
        <v>645</v>
      </c>
      <c r="Z124" s="110"/>
      <c r="AA124" s="112" t="s">
        <v>63</v>
      </c>
    </row>
    <row r="125" s="100" customFormat="1" ht="161" customHeight="1" spans="1:27">
      <c r="A125" s="110">
        <v>110</v>
      </c>
      <c r="B125" s="110" t="s">
        <v>620</v>
      </c>
      <c r="C125" s="110" t="s">
        <v>656</v>
      </c>
      <c r="D125" s="110" t="s">
        <v>632</v>
      </c>
      <c r="E125" s="110" t="s">
        <v>648</v>
      </c>
      <c r="F125" s="110" t="s">
        <v>40</v>
      </c>
      <c r="G125" s="110" t="s">
        <v>819</v>
      </c>
      <c r="H125" s="111" t="s">
        <v>657</v>
      </c>
      <c r="I125" s="110" t="s">
        <v>642</v>
      </c>
      <c r="J125" s="110">
        <v>5856</v>
      </c>
      <c r="K125" s="118">
        <f t="shared" si="26"/>
        <v>117.12</v>
      </c>
      <c r="L125" s="118">
        <f t="shared" si="27"/>
        <v>0</v>
      </c>
      <c r="M125" s="118"/>
      <c r="N125" s="118"/>
      <c r="O125" s="118"/>
      <c r="P125" s="118"/>
      <c r="Q125" s="110"/>
      <c r="R125" s="110"/>
      <c r="S125" s="110"/>
      <c r="T125" s="110"/>
      <c r="U125" s="118">
        <v>117.12</v>
      </c>
      <c r="V125" s="110"/>
      <c r="W125" s="110">
        <v>5856</v>
      </c>
      <c r="X125" s="110" t="s">
        <v>644</v>
      </c>
      <c r="Y125" s="110" t="s">
        <v>645</v>
      </c>
      <c r="Z125" s="110"/>
      <c r="AA125" s="112" t="s">
        <v>63</v>
      </c>
    </row>
    <row r="126" s="100" customFormat="1" ht="161" customHeight="1" spans="1:27">
      <c r="A126" s="110">
        <v>111</v>
      </c>
      <c r="B126" s="110" t="s">
        <v>624</v>
      </c>
      <c r="C126" s="110" t="s">
        <v>660</v>
      </c>
      <c r="D126" s="110" t="s">
        <v>632</v>
      </c>
      <c r="E126" s="110" t="s">
        <v>661</v>
      </c>
      <c r="F126" s="110" t="s">
        <v>40</v>
      </c>
      <c r="G126" s="110" t="s">
        <v>819</v>
      </c>
      <c r="H126" s="111" t="s">
        <v>662</v>
      </c>
      <c r="I126" s="110" t="s">
        <v>187</v>
      </c>
      <c r="J126" s="110">
        <v>901</v>
      </c>
      <c r="K126" s="118">
        <f t="shared" si="26"/>
        <v>180.2</v>
      </c>
      <c r="L126" s="118">
        <f t="shared" si="27"/>
        <v>180.2</v>
      </c>
      <c r="M126" s="118"/>
      <c r="N126" s="118">
        <v>180.2</v>
      </c>
      <c r="O126" s="118"/>
      <c r="P126" s="118"/>
      <c r="Q126" s="110"/>
      <c r="R126" s="110"/>
      <c r="S126" s="110"/>
      <c r="T126" s="110"/>
      <c r="U126" s="110"/>
      <c r="V126" s="110"/>
      <c r="W126" s="110">
        <v>3604</v>
      </c>
      <c r="X126" s="110" t="s">
        <v>644</v>
      </c>
      <c r="Y126" s="110" t="s">
        <v>645</v>
      </c>
      <c r="Z126" s="110"/>
      <c r="AA126" s="112" t="s">
        <v>63</v>
      </c>
    </row>
    <row r="127" s="100" customFormat="1" ht="161" customHeight="1" spans="1:27">
      <c r="A127" s="110">
        <v>112</v>
      </c>
      <c r="B127" s="110" t="s">
        <v>630</v>
      </c>
      <c r="C127" s="110" t="s">
        <v>665</v>
      </c>
      <c r="D127" s="110" t="s">
        <v>632</v>
      </c>
      <c r="E127" s="110" t="s">
        <v>661</v>
      </c>
      <c r="F127" s="110" t="s">
        <v>40</v>
      </c>
      <c r="G127" s="110" t="s">
        <v>819</v>
      </c>
      <c r="H127" s="111" t="s">
        <v>666</v>
      </c>
      <c r="I127" s="110" t="s">
        <v>187</v>
      </c>
      <c r="J127" s="110">
        <v>542</v>
      </c>
      <c r="K127" s="118">
        <f t="shared" si="26"/>
        <v>54.2</v>
      </c>
      <c r="L127" s="118">
        <f t="shared" si="27"/>
        <v>54.2</v>
      </c>
      <c r="M127" s="118"/>
      <c r="N127" s="118">
        <v>54.2</v>
      </c>
      <c r="O127" s="118"/>
      <c r="P127" s="118"/>
      <c r="Q127" s="110"/>
      <c r="R127" s="110"/>
      <c r="S127" s="110"/>
      <c r="T127" s="110"/>
      <c r="U127" s="110"/>
      <c r="V127" s="110"/>
      <c r="W127" s="110">
        <v>2168</v>
      </c>
      <c r="X127" s="110" t="s">
        <v>644</v>
      </c>
      <c r="Y127" s="110" t="s">
        <v>645</v>
      </c>
      <c r="Z127" s="110"/>
      <c r="AA127" s="112" t="s">
        <v>63</v>
      </c>
    </row>
    <row r="128" s="101" customFormat="1" ht="43" customHeight="1" spans="1:27">
      <c r="A128" s="116" t="s">
        <v>668</v>
      </c>
      <c r="B128" s="116" t="s">
        <v>669</v>
      </c>
      <c r="C128" s="116"/>
      <c r="D128" s="115"/>
      <c r="E128" s="116"/>
      <c r="F128" s="116"/>
      <c r="G128" s="116"/>
      <c r="H128" s="116">
        <f>SUBTOTAL(9,H129,H132,H141,H144)</f>
        <v>27</v>
      </c>
      <c r="I128" s="120"/>
      <c r="J128" s="120">
        <f>K128/K7</f>
        <v>0.112170802577978</v>
      </c>
      <c r="K128" s="121">
        <f t="shared" ref="K128:V128" si="28">SUM(K129,K132,K141,K144)</f>
        <v>14856.61</v>
      </c>
      <c r="L128" s="121">
        <f t="shared" si="28"/>
        <v>12856.61</v>
      </c>
      <c r="M128" s="121">
        <f t="shared" si="28"/>
        <v>1380</v>
      </c>
      <c r="N128" s="121">
        <f t="shared" si="28"/>
        <v>5133.61</v>
      </c>
      <c r="O128" s="121">
        <f t="shared" si="28"/>
        <v>5481</v>
      </c>
      <c r="P128" s="121">
        <f t="shared" si="28"/>
        <v>862</v>
      </c>
      <c r="Q128" s="121">
        <f t="shared" si="28"/>
        <v>0</v>
      </c>
      <c r="R128" s="121">
        <f t="shared" si="28"/>
        <v>0</v>
      </c>
      <c r="S128" s="121">
        <f t="shared" si="28"/>
        <v>0</v>
      </c>
      <c r="T128" s="121">
        <f t="shared" si="28"/>
        <v>2000</v>
      </c>
      <c r="U128" s="121">
        <f t="shared" si="28"/>
        <v>0</v>
      </c>
      <c r="V128" s="121">
        <f t="shared" si="28"/>
        <v>0</v>
      </c>
      <c r="W128" s="116"/>
      <c r="X128" s="121"/>
      <c r="Y128" s="121"/>
      <c r="Z128" s="121"/>
      <c r="AA128" s="131"/>
    </row>
    <row r="129" s="101" customFormat="1" ht="43" customHeight="1" spans="1:27">
      <c r="A129" s="114" t="s">
        <v>924</v>
      </c>
      <c r="B129" s="114"/>
      <c r="C129" s="114"/>
      <c r="D129" s="115"/>
      <c r="E129" s="116"/>
      <c r="F129" s="116"/>
      <c r="G129" s="116"/>
      <c r="H129" s="116">
        <v>2</v>
      </c>
      <c r="I129" s="120"/>
      <c r="J129" s="120"/>
      <c r="K129" s="121">
        <f t="shared" ref="K129:T129" si="29">SUM(K130:K131)</f>
        <v>4870</v>
      </c>
      <c r="L129" s="121">
        <f t="shared" si="29"/>
        <v>2870</v>
      </c>
      <c r="M129" s="121">
        <f t="shared" si="29"/>
        <v>0</v>
      </c>
      <c r="N129" s="121">
        <f t="shared" si="29"/>
        <v>2870</v>
      </c>
      <c r="O129" s="121">
        <f t="shared" si="29"/>
        <v>0</v>
      </c>
      <c r="P129" s="121">
        <f t="shared" si="29"/>
        <v>0</v>
      </c>
      <c r="Q129" s="121">
        <f t="shared" si="29"/>
        <v>0</v>
      </c>
      <c r="R129" s="121">
        <f t="shared" si="29"/>
        <v>0</v>
      </c>
      <c r="S129" s="121">
        <f t="shared" si="29"/>
        <v>0</v>
      </c>
      <c r="T129" s="121">
        <f t="shared" si="29"/>
        <v>2000</v>
      </c>
      <c r="U129" s="121">
        <f>SUM(U130:U139)</f>
        <v>0</v>
      </c>
      <c r="V129" s="121">
        <f>SUM(V130:V139)</f>
        <v>0</v>
      </c>
      <c r="W129" s="116"/>
      <c r="X129" s="124"/>
      <c r="Y129" s="124"/>
      <c r="Z129" s="124"/>
      <c r="AA129" s="131"/>
    </row>
    <row r="130" s="100" customFormat="1" ht="173" customHeight="1" spans="1:27">
      <c r="A130" s="110">
        <v>113</v>
      </c>
      <c r="B130" s="110" t="s">
        <v>638</v>
      </c>
      <c r="C130" s="110" t="s">
        <v>925</v>
      </c>
      <c r="D130" s="110" t="s">
        <v>669</v>
      </c>
      <c r="E130" s="110" t="s">
        <v>697</v>
      </c>
      <c r="F130" s="110" t="s">
        <v>40</v>
      </c>
      <c r="G130" s="110" t="s">
        <v>414</v>
      </c>
      <c r="H130" s="111" t="s">
        <v>926</v>
      </c>
      <c r="I130" s="110" t="s">
        <v>43</v>
      </c>
      <c r="J130" s="110">
        <v>320</v>
      </c>
      <c r="K130" s="118">
        <f>SUM(L130,T130:V130)</f>
        <v>2000</v>
      </c>
      <c r="L130" s="118">
        <f>SUM(M130:S130)</f>
        <v>1000</v>
      </c>
      <c r="M130" s="118"/>
      <c r="N130" s="118">
        <v>1000</v>
      </c>
      <c r="O130" s="118"/>
      <c r="P130" s="118"/>
      <c r="Q130" s="110"/>
      <c r="R130" s="110"/>
      <c r="S130" s="110"/>
      <c r="T130" s="110">
        <v>1000</v>
      </c>
      <c r="U130" s="110"/>
      <c r="V130" s="110"/>
      <c r="W130" s="110">
        <v>1500</v>
      </c>
      <c r="X130" s="110" t="s">
        <v>700</v>
      </c>
      <c r="Y130" s="129" t="s">
        <v>701</v>
      </c>
      <c r="Z130" s="110"/>
      <c r="AA130" s="112" t="s">
        <v>63</v>
      </c>
    </row>
    <row r="131" s="100" customFormat="1" ht="180" customHeight="1" spans="1:27">
      <c r="A131" s="110">
        <v>114</v>
      </c>
      <c r="B131" s="110" t="s">
        <v>646</v>
      </c>
      <c r="C131" s="110" t="s">
        <v>927</v>
      </c>
      <c r="D131" s="110" t="s">
        <v>669</v>
      </c>
      <c r="E131" s="110" t="s">
        <v>928</v>
      </c>
      <c r="F131" s="110" t="s">
        <v>40</v>
      </c>
      <c r="G131" s="110" t="s">
        <v>442</v>
      </c>
      <c r="H131" s="111" t="s">
        <v>929</v>
      </c>
      <c r="I131" s="110" t="s">
        <v>43</v>
      </c>
      <c r="J131" s="110">
        <v>170</v>
      </c>
      <c r="K131" s="118">
        <f t="shared" ref="K131:K139" si="30">SUM(L131,T131:V131)</f>
        <v>2870</v>
      </c>
      <c r="L131" s="118">
        <f t="shared" ref="L131:L140" si="31">SUM(M131:S131)</f>
        <v>1870</v>
      </c>
      <c r="M131" s="118"/>
      <c r="N131" s="118">
        <v>1870</v>
      </c>
      <c r="O131" s="118"/>
      <c r="P131" s="118"/>
      <c r="Q131" s="110"/>
      <c r="R131" s="110"/>
      <c r="S131" s="110"/>
      <c r="T131" s="110">
        <v>1000</v>
      </c>
      <c r="U131" s="110"/>
      <c r="V131" s="110"/>
      <c r="W131" s="110">
        <v>2000</v>
      </c>
      <c r="X131" s="110" t="s">
        <v>700</v>
      </c>
      <c r="Y131" s="129" t="s">
        <v>701</v>
      </c>
      <c r="Z131" s="110"/>
      <c r="AA131" s="112" t="s">
        <v>63</v>
      </c>
    </row>
    <row r="132" s="101" customFormat="1" ht="43" customHeight="1" spans="1:27">
      <c r="A132" s="114" t="s">
        <v>930</v>
      </c>
      <c r="B132" s="114"/>
      <c r="C132" s="114"/>
      <c r="D132" s="115"/>
      <c r="E132" s="116"/>
      <c r="F132" s="116"/>
      <c r="G132" s="116"/>
      <c r="H132" s="116">
        <v>7</v>
      </c>
      <c r="I132" s="120"/>
      <c r="J132" s="120"/>
      <c r="K132" s="121">
        <f t="shared" ref="K132:V132" si="32">SUM(K133:K140)</f>
        <v>2522</v>
      </c>
      <c r="L132" s="121">
        <f t="shared" si="32"/>
        <v>2522</v>
      </c>
      <c r="M132" s="121">
        <f t="shared" si="32"/>
        <v>1380</v>
      </c>
      <c r="N132" s="121">
        <f t="shared" si="32"/>
        <v>280</v>
      </c>
      <c r="O132" s="121">
        <f t="shared" si="32"/>
        <v>0</v>
      </c>
      <c r="P132" s="121">
        <f t="shared" si="32"/>
        <v>862</v>
      </c>
      <c r="Q132" s="121">
        <f t="shared" si="32"/>
        <v>0</v>
      </c>
      <c r="R132" s="121">
        <f t="shared" si="32"/>
        <v>0</v>
      </c>
      <c r="S132" s="121">
        <f t="shared" si="32"/>
        <v>0</v>
      </c>
      <c r="T132" s="121">
        <f t="shared" si="32"/>
        <v>0</v>
      </c>
      <c r="U132" s="121">
        <f t="shared" si="32"/>
        <v>0</v>
      </c>
      <c r="V132" s="121">
        <f t="shared" si="32"/>
        <v>0</v>
      </c>
      <c r="W132" s="116"/>
      <c r="X132" s="124"/>
      <c r="Y132" s="124"/>
      <c r="Z132" s="124"/>
      <c r="AA132" s="131"/>
    </row>
    <row r="133" s="100" customFormat="1" ht="77" customHeight="1" spans="1:27">
      <c r="A133" s="110">
        <v>115</v>
      </c>
      <c r="B133" s="110" t="s">
        <v>651</v>
      </c>
      <c r="C133" s="110" t="s">
        <v>931</v>
      </c>
      <c r="D133" s="110" t="s">
        <v>669</v>
      </c>
      <c r="E133" s="110" t="s">
        <v>673</v>
      </c>
      <c r="F133" s="110" t="s">
        <v>40</v>
      </c>
      <c r="G133" s="110" t="s">
        <v>932</v>
      </c>
      <c r="H133" s="113" t="s">
        <v>933</v>
      </c>
      <c r="I133" s="110" t="s">
        <v>393</v>
      </c>
      <c r="J133" s="110">
        <v>5000</v>
      </c>
      <c r="K133" s="118">
        <f t="shared" si="30"/>
        <v>80</v>
      </c>
      <c r="L133" s="118">
        <f t="shared" si="31"/>
        <v>80</v>
      </c>
      <c r="M133" s="118"/>
      <c r="N133" s="118">
        <v>80</v>
      </c>
      <c r="O133" s="118"/>
      <c r="P133" s="118"/>
      <c r="Q133" s="110"/>
      <c r="R133" s="110"/>
      <c r="S133" s="110"/>
      <c r="T133" s="110"/>
      <c r="U133" s="110"/>
      <c r="V133" s="110"/>
      <c r="W133" s="110">
        <v>20</v>
      </c>
      <c r="X133" s="110" t="s">
        <v>636</v>
      </c>
      <c r="Y133" s="110" t="s">
        <v>637</v>
      </c>
      <c r="Z133" s="110"/>
      <c r="AA133" s="112" t="s">
        <v>63</v>
      </c>
    </row>
    <row r="134" s="100" customFormat="1" ht="77" customHeight="1" spans="1:27">
      <c r="A134" s="110">
        <v>116</v>
      </c>
      <c r="B134" s="110" t="s">
        <v>659</v>
      </c>
      <c r="C134" s="110" t="s">
        <v>934</v>
      </c>
      <c r="D134" s="110" t="s">
        <v>669</v>
      </c>
      <c r="E134" s="110" t="s">
        <v>673</v>
      </c>
      <c r="F134" s="110" t="s">
        <v>40</v>
      </c>
      <c r="G134" s="110" t="s">
        <v>935</v>
      </c>
      <c r="H134" s="113" t="s">
        <v>936</v>
      </c>
      <c r="I134" s="110" t="s">
        <v>393</v>
      </c>
      <c r="J134" s="110">
        <v>14000</v>
      </c>
      <c r="K134" s="118">
        <f t="shared" si="30"/>
        <v>240</v>
      </c>
      <c r="L134" s="118">
        <f t="shared" si="31"/>
        <v>240</v>
      </c>
      <c r="M134" s="118">
        <v>240</v>
      </c>
      <c r="N134" s="118"/>
      <c r="O134" s="118"/>
      <c r="P134" s="118"/>
      <c r="Q134" s="110"/>
      <c r="R134" s="110"/>
      <c r="S134" s="110"/>
      <c r="T134" s="110"/>
      <c r="U134" s="110"/>
      <c r="V134" s="110"/>
      <c r="W134" s="110">
        <v>500</v>
      </c>
      <c r="X134" s="110" t="s">
        <v>636</v>
      </c>
      <c r="Y134" s="110" t="s">
        <v>637</v>
      </c>
      <c r="Z134" s="110"/>
      <c r="AA134" s="112" t="s">
        <v>63</v>
      </c>
    </row>
    <row r="135" s="100" customFormat="1" ht="77" customHeight="1" spans="1:27">
      <c r="A135" s="110">
        <v>117</v>
      </c>
      <c r="B135" s="110" t="s">
        <v>664</v>
      </c>
      <c r="C135" s="110" t="s">
        <v>678</v>
      </c>
      <c r="D135" s="110" t="s">
        <v>669</v>
      </c>
      <c r="E135" s="110" t="s">
        <v>673</v>
      </c>
      <c r="F135" s="110" t="s">
        <v>40</v>
      </c>
      <c r="G135" s="110" t="s">
        <v>679</v>
      </c>
      <c r="H135" s="113" t="s">
        <v>680</v>
      </c>
      <c r="I135" s="110" t="s">
        <v>561</v>
      </c>
      <c r="J135" s="110">
        <v>5.5</v>
      </c>
      <c r="K135" s="118">
        <f t="shared" si="30"/>
        <v>395</v>
      </c>
      <c r="L135" s="118">
        <f t="shared" si="31"/>
        <v>395</v>
      </c>
      <c r="M135" s="118"/>
      <c r="N135" s="118"/>
      <c r="O135" s="118"/>
      <c r="P135" s="118">
        <v>395</v>
      </c>
      <c r="Q135" s="110"/>
      <c r="R135" s="110"/>
      <c r="S135" s="110"/>
      <c r="T135" s="110"/>
      <c r="U135" s="110"/>
      <c r="V135" s="110"/>
      <c r="W135" s="110">
        <v>2000</v>
      </c>
      <c r="X135" s="110" t="s">
        <v>636</v>
      </c>
      <c r="Y135" s="110" t="s">
        <v>637</v>
      </c>
      <c r="Z135" s="110"/>
      <c r="AA135" s="112" t="s">
        <v>63</v>
      </c>
    </row>
    <row r="136" s="100" customFormat="1" ht="77" customHeight="1" spans="1:27">
      <c r="A136" s="110"/>
      <c r="B136" s="110" t="s">
        <v>806</v>
      </c>
      <c r="C136" s="110" t="s">
        <v>683</v>
      </c>
      <c r="D136" s="110" t="s">
        <v>669</v>
      </c>
      <c r="E136" s="110" t="s">
        <v>673</v>
      </c>
      <c r="F136" s="110" t="s">
        <v>40</v>
      </c>
      <c r="G136" s="110" t="s">
        <v>684</v>
      </c>
      <c r="H136" s="113" t="s">
        <v>685</v>
      </c>
      <c r="I136" s="110" t="s">
        <v>561</v>
      </c>
      <c r="J136" s="110">
        <v>5.3</v>
      </c>
      <c r="K136" s="118">
        <f t="shared" si="30"/>
        <v>360</v>
      </c>
      <c r="L136" s="118">
        <f t="shared" si="31"/>
        <v>360</v>
      </c>
      <c r="M136" s="118">
        <v>360</v>
      </c>
      <c r="N136" s="118"/>
      <c r="O136" s="118"/>
      <c r="P136" s="118"/>
      <c r="Q136" s="110"/>
      <c r="R136" s="110"/>
      <c r="S136" s="110"/>
      <c r="T136" s="110"/>
      <c r="U136" s="110"/>
      <c r="V136" s="110"/>
      <c r="W136" s="110">
        <v>5000</v>
      </c>
      <c r="X136" s="110" t="s">
        <v>636</v>
      </c>
      <c r="Y136" s="110" t="s">
        <v>637</v>
      </c>
      <c r="Z136" s="110"/>
      <c r="AA136" s="112" t="s">
        <v>63</v>
      </c>
    </row>
    <row r="137" s="100" customFormat="1" ht="94" customHeight="1" spans="1:27">
      <c r="A137" s="110">
        <v>118</v>
      </c>
      <c r="B137" s="110" t="s">
        <v>671</v>
      </c>
      <c r="C137" s="110" t="s">
        <v>688</v>
      </c>
      <c r="D137" s="110" t="s">
        <v>669</v>
      </c>
      <c r="E137" s="110" t="s">
        <v>673</v>
      </c>
      <c r="F137" s="110" t="s">
        <v>40</v>
      </c>
      <c r="G137" s="110" t="s">
        <v>192</v>
      </c>
      <c r="H137" s="113" t="s">
        <v>689</v>
      </c>
      <c r="I137" s="110" t="s">
        <v>164</v>
      </c>
      <c r="J137" s="110">
        <v>3</v>
      </c>
      <c r="K137" s="118">
        <f t="shared" si="30"/>
        <v>80</v>
      </c>
      <c r="L137" s="118">
        <f t="shared" si="31"/>
        <v>80</v>
      </c>
      <c r="M137" s="118"/>
      <c r="N137" s="118"/>
      <c r="O137" s="118"/>
      <c r="P137" s="118">
        <v>80</v>
      </c>
      <c r="Q137" s="110"/>
      <c r="R137" s="110"/>
      <c r="S137" s="110"/>
      <c r="T137" s="110"/>
      <c r="U137" s="110"/>
      <c r="V137" s="110"/>
      <c r="W137" s="110">
        <v>300</v>
      </c>
      <c r="X137" s="110" t="s">
        <v>636</v>
      </c>
      <c r="Y137" s="110" t="s">
        <v>637</v>
      </c>
      <c r="Z137" s="110"/>
      <c r="AA137" s="112" t="s">
        <v>63</v>
      </c>
    </row>
    <row r="138" s="100" customFormat="1" ht="94" customHeight="1" spans="1:27">
      <c r="A138" s="110">
        <v>119</v>
      </c>
      <c r="B138" s="110" t="s">
        <v>677</v>
      </c>
      <c r="C138" s="110" t="s">
        <v>692</v>
      </c>
      <c r="D138" s="110" t="s">
        <v>669</v>
      </c>
      <c r="E138" s="110" t="s">
        <v>673</v>
      </c>
      <c r="F138" s="110" t="s">
        <v>40</v>
      </c>
      <c r="G138" s="110" t="s">
        <v>693</v>
      </c>
      <c r="H138" s="113" t="s">
        <v>694</v>
      </c>
      <c r="I138" s="110" t="s">
        <v>164</v>
      </c>
      <c r="J138" s="110">
        <v>2</v>
      </c>
      <c r="K138" s="118">
        <f t="shared" si="30"/>
        <v>387</v>
      </c>
      <c r="L138" s="118">
        <f t="shared" si="31"/>
        <v>387</v>
      </c>
      <c r="M138" s="118"/>
      <c r="N138" s="118"/>
      <c r="O138" s="118"/>
      <c r="P138" s="118">
        <v>387</v>
      </c>
      <c r="Q138" s="110"/>
      <c r="R138" s="110"/>
      <c r="S138" s="110"/>
      <c r="T138" s="110"/>
      <c r="U138" s="110"/>
      <c r="V138" s="110"/>
      <c r="W138" s="110">
        <v>1500</v>
      </c>
      <c r="X138" s="110" t="s">
        <v>727</v>
      </c>
      <c r="Y138" s="110" t="s">
        <v>728</v>
      </c>
      <c r="Z138" s="110"/>
      <c r="AA138" s="112" t="s">
        <v>63</v>
      </c>
    </row>
    <row r="139" s="100" customFormat="1" ht="150" customHeight="1" spans="1:27">
      <c r="A139" s="110">
        <v>120</v>
      </c>
      <c r="B139" s="110" t="s">
        <v>682</v>
      </c>
      <c r="C139" s="110" t="s">
        <v>706</v>
      </c>
      <c r="D139" s="110" t="s">
        <v>669</v>
      </c>
      <c r="E139" s="110" t="s">
        <v>697</v>
      </c>
      <c r="F139" s="110" t="s">
        <v>40</v>
      </c>
      <c r="G139" s="110" t="s">
        <v>707</v>
      </c>
      <c r="H139" s="113" t="s">
        <v>937</v>
      </c>
      <c r="I139" s="110" t="s">
        <v>561</v>
      </c>
      <c r="J139" s="110">
        <v>8</v>
      </c>
      <c r="K139" s="118">
        <f t="shared" si="30"/>
        <v>780</v>
      </c>
      <c r="L139" s="118">
        <f t="shared" si="31"/>
        <v>780</v>
      </c>
      <c r="M139" s="118">
        <v>780</v>
      </c>
      <c r="N139" s="118"/>
      <c r="O139" s="118"/>
      <c r="P139" s="118"/>
      <c r="Q139" s="110"/>
      <c r="R139" s="110"/>
      <c r="S139" s="110"/>
      <c r="T139" s="110"/>
      <c r="U139" s="110"/>
      <c r="V139" s="110"/>
      <c r="W139" s="110">
        <v>750</v>
      </c>
      <c r="X139" s="110" t="s">
        <v>396</v>
      </c>
      <c r="Y139" s="110" t="s">
        <v>397</v>
      </c>
      <c r="Z139" s="110"/>
      <c r="AA139" s="112" t="s">
        <v>63</v>
      </c>
    </row>
    <row r="140" s="100" customFormat="1" ht="125" customHeight="1" spans="1:27">
      <c r="A140" s="110">
        <v>121</v>
      </c>
      <c r="B140" s="110" t="s">
        <v>938</v>
      </c>
      <c r="C140" s="110" t="s">
        <v>714</v>
      </c>
      <c r="D140" s="110" t="s">
        <v>669</v>
      </c>
      <c r="E140" s="110" t="s">
        <v>715</v>
      </c>
      <c r="F140" s="110" t="s">
        <v>40</v>
      </c>
      <c r="G140" s="110" t="s">
        <v>716</v>
      </c>
      <c r="H140" s="111" t="s">
        <v>717</v>
      </c>
      <c r="I140" s="110" t="s">
        <v>164</v>
      </c>
      <c r="J140" s="110">
        <v>18</v>
      </c>
      <c r="K140" s="118">
        <f t="shared" ref="K140:K143" si="33">SUM(L140,T140:V140)</f>
        <v>200</v>
      </c>
      <c r="L140" s="118">
        <f t="shared" si="31"/>
        <v>200</v>
      </c>
      <c r="M140" s="118"/>
      <c r="N140" s="118">
        <f>140+60</f>
        <v>200</v>
      </c>
      <c r="O140" s="118">
        <v>0</v>
      </c>
      <c r="P140" s="118">
        <v>0</v>
      </c>
      <c r="Q140" s="110">
        <v>0</v>
      </c>
      <c r="R140" s="110">
        <v>0</v>
      </c>
      <c r="S140" s="110">
        <v>0</v>
      </c>
      <c r="T140" s="110">
        <v>0</v>
      </c>
      <c r="U140" s="110">
        <v>0</v>
      </c>
      <c r="V140" s="110">
        <v>0</v>
      </c>
      <c r="W140" s="110">
        <v>900</v>
      </c>
      <c r="X140" s="110" t="s">
        <v>939</v>
      </c>
      <c r="Y140" s="130" t="s">
        <v>940</v>
      </c>
      <c r="Z140" s="110"/>
      <c r="AA140" s="112" t="s">
        <v>63</v>
      </c>
    </row>
    <row r="141" s="101" customFormat="1" ht="43" customHeight="1" spans="1:27">
      <c r="A141" s="138" t="s">
        <v>941</v>
      </c>
      <c r="B141" s="139"/>
      <c r="C141" s="140"/>
      <c r="D141" s="115"/>
      <c r="E141" s="116"/>
      <c r="F141" s="116"/>
      <c r="G141" s="116"/>
      <c r="H141" s="116">
        <v>2</v>
      </c>
      <c r="I141" s="120"/>
      <c r="J141" s="120"/>
      <c r="K141" s="121">
        <f t="shared" ref="K141:V141" si="34">SUM(K142:K143)</f>
        <v>1983.61</v>
      </c>
      <c r="L141" s="121">
        <f t="shared" si="34"/>
        <v>1983.61</v>
      </c>
      <c r="M141" s="121">
        <f t="shared" si="34"/>
        <v>0</v>
      </c>
      <c r="N141" s="121">
        <f t="shared" si="34"/>
        <v>1983.61</v>
      </c>
      <c r="O141" s="121">
        <f t="shared" si="34"/>
        <v>0</v>
      </c>
      <c r="P141" s="121">
        <f t="shared" si="34"/>
        <v>0</v>
      </c>
      <c r="Q141" s="121">
        <f t="shared" si="34"/>
        <v>0</v>
      </c>
      <c r="R141" s="121">
        <f t="shared" si="34"/>
        <v>0</v>
      </c>
      <c r="S141" s="121">
        <f t="shared" si="34"/>
        <v>0</v>
      </c>
      <c r="T141" s="121">
        <f t="shared" si="34"/>
        <v>0</v>
      </c>
      <c r="U141" s="121">
        <f t="shared" si="34"/>
        <v>0</v>
      </c>
      <c r="V141" s="121">
        <f t="shared" si="34"/>
        <v>0</v>
      </c>
      <c r="W141" s="116"/>
      <c r="X141" s="124"/>
      <c r="Y141" s="124"/>
      <c r="Z141" s="124"/>
      <c r="AA141" s="131"/>
    </row>
    <row r="142" s="100" customFormat="1" ht="125" customHeight="1" spans="1:27">
      <c r="A142" s="110">
        <v>122</v>
      </c>
      <c r="B142" s="110" t="s">
        <v>942</v>
      </c>
      <c r="C142" s="110" t="s">
        <v>721</v>
      </c>
      <c r="D142" s="110" t="s">
        <v>669</v>
      </c>
      <c r="E142" s="110" t="s">
        <v>722</v>
      </c>
      <c r="F142" s="110" t="s">
        <v>723</v>
      </c>
      <c r="G142" s="110" t="s">
        <v>724</v>
      </c>
      <c r="H142" s="111" t="s">
        <v>725</v>
      </c>
      <c r="I142" s="110" t="s">
        <v>561</v>
      </c>
      <c r="J142" s="110">
        <v>21</v>
      </c>
      <c r="K142" s="118">
        <f t="shared" si="33"/>
        <v>514</v>
      </c>
      <c r="L142" s="118">
        <f t="shared" ref="L142:L160" si="35">SUM(M142:S142)</f>
        <v>514</v>
      </c>
      <c r="M142" s="118"/>
      <c r="N142" s="118">
        <v>514</v>
      </c>
      <c r="O142" s="118"/>
      <c r="P142" s="118"/>
      <c r="Q142" s="110"/>
      <c r="R142" s="110"/>
      <c r="S142" s="110"/>
      <c r="T142" s="110"/>
      <c r="U142" s="110"/>
      <c r="V142" s="110"/>
      <c r="W142" s="110">
        <v>1816</v>
      </c>
      <c r="X142" s="110" t="s">
        <v>727</v>
      </c>
      <c r="Y142" s="130" t="s">
        <v>728</v>
      </c>
      <c r="Z142" s="110"/>
      <c r="AA142" s="112" t="s">
        <v>63</v>
      </c>
    </row>
    <row r="143" s="100" customFormat="1" ht="125" customHeight="1" spans="1:27">
      <c r="A143" s="110">
        <v>123</v>
      </c>
      <c r="B143" s="110" t="s">
        <v>943</v>
      </c>
      <c r="C143" s="110" t="s">
        <v>730</v>
      </c>
      <c r="D143" s="110" t="s">
        <v>669</v>
      </c>
      <c r="E143" s="110" t="s">
        <v>722</v>
      </c>
      <c r="F143" s="110" t="s">
        <v>723</v>
      </c>
      <c r="G143" s="110" t="s">
        <v>192</v>
      </c>
      <c r="H143" s="111" t="s">
        <v>944</v>
      </c>
      <c r="I143" s="110" t="s">
        <v>561</v>
      </c>
      <c r="J143" s="110">
        <v>123</v>
      </c>
      <c r="K143" s="118">
        <f t="shared" si="33"/>
        <v>1469.61</v>
      </c>
      <c r="L143" s="118">
        <f t="shared" si="35"/>
        <v>1469.61</v>
      </c>
      <c r="M143" s="118"/>
      <c r="N143" s="118">
        <v>1469.61</v>
      </c>
      <c r="O143" s="118"/>
      <c r="P143" s="118"/>
      <c r="Q143" s="110"/>
      <c r="R143" s="110"/>
      <c r="S143" s="110"/>
      <c r="T143" s="110"/>
      <c r="U143" s="110"/>
      <c r="V143" s="110"/>
      <c r="W143" s="110">
        <v>11260</v>
      </c>
      <c r="X143" s="110" t="s">
        <v>727</v>
      </c>
      <c r="Y143" s="130" t="s">
        <v>728</v>
      </c>
      <c r="Z143" s="110"/>
      <c r="AA143" s="112" t="s">
        <v>63</v>
      </c>
    </row>
    <row r="144" s="101" customFormat="1" ht="43" customHeight="1" spans="1:27">
      <c r="A144" s="138" t="s">
        <v>945</v>
      </c>
      <c r="B144" s="139"/>
      <c r="C144" s="140"/>
      <c r="D144" s="115">
        <f t="shared" ref="D144:G144" si="36">SUM(D145:D160)</f>
        <v>0</v>
      </c>
      <c r="E144" s="116">
        <f t="shared" si="36"/>
        <v>0</v>
      </c>
      <c r="F144" s="116">
        <f t="shared" si="36"/>
        <v>0</v>
      </c>
      <c r="G144" s="116">
        <f t="shared" si="36"/>
        <v>0</v>
      </c>
      <c r="H144" s="116">
        <v>16</v>
      </c>
      <c r="I144" s="120">
        <f t="shared" ref="I144:V144" si="37">SUM(I145:I160)</f>
        <v>0</v>
      </c>
      <c r="J144" s="120"/>
      <c r="K144" s="121">
        <f t="shared" si="37"/>
        <v>5481</v>
      </c>
      <c r="L144" s="121">
        <f t="shared" si="37"/>
        <v>5481</v>
      </c>
      <c r="M144" s="121">
        <f t="shared" si="37"/>
        <v>0</v>
      </c>
      <c r="N144" s="121">
        <f t="shared" si="37"/>
        <v>0</v>
      </c>
      <c r="O144" s="121">
        <f t="shared" si="37"/>
        <v>5481</v>
      </c>
      <c r="P144" s="121">
        <f t="shared" si="37"/>
        <v>0</v>
      </c>
      <c r="Q144" s="121">
        <f t="shared" si="37"/>
        <v>0</v>
      </c>
      <c r="R144" s="121">
        <f t="shared" si="37"/>
        <v>0</v>
      </c>
      <c r="S144" s="121">
        <f t="shared" si="37"/>
        <v>0</v>
      </c>
      <c r="T144" s="121">
        <f t="shared" si="37"/>
        <v>0</v>
      </c>
      <c r="U144" s="121">
        <f t="shared" si="37"/>
        <v>0</v>
      </c>
      <c r="V144" s="121">
        <f t="shared" si="37"/>
        <v>0</v>
      </c>
      <c r="W144" s="116"/>
      <c r="X144" s="124"/>
      <c r="Y144" s="124"/>
      <c r="Z144" s="124"/>
      <c r="AA144" s="131"/>
    </row>
    <row r="145" s="100" customFormat="1" ht="107" customHeight="1" spans="1:27">
      <c r="A145" s="110">
        <v>124</v>
      </c>
      <c r="B145" s="110" t="s">
        <v>946</v>
      </c>
      <c r="C145" s="110" t="s">
        <v>735</v>
      </c>
      <c r="D145" s="110" t="s">
        <v>669</v>
      </c>
      <c r="E145" s="110" t="s">
        <v>722</v>
      </c>
      <c r="F145" s="110" t="s">
        <v>40</v>
      </c>
      <c r="G145" s="110" t="s">
        <v>736</v>
      </c>
      <c r="H145" s="113" t="s">
        <v>947</v>
      </c>
      <c r="I145" s="110" t="s">
        <v>561</v>
      </c>
      <c r="J145" s="110">
        <v>5.6</v>
      </c>
      <c r="K145" s="118">
        <f t="shared" ref="K145:K160" si="38">SUM(L145,T145:V145)</f>
        <v>390</v>
      </c>
      <c r="L145" s="118">
        <f t="shared" si="35"/>
        <v>390</v>
      </c>
      <c r="M145" s="118"/>
      <c r="N145" s="118"/>
      <c r="O145" s="118">
        <v>390</v>
      </c>
      <c r="P145" s="118"/>
      <c r="Q145" s="110"/>
      <c r="R145" s="110"/>
      <c r="S145" s="110"/>
      <c r="T145" s="110"/>
      <c r="U145" s="110"/>
      <c r="V145" s="110"/>
      <c r="W145" s="110">
        <v>35</v>
      </c>
      <c r="X145" s="110" t="s">
        <v>739</v>
      </c>
      <c r="Y145" s="130" t="s">
        <v>740</v>
      </c>
      <c r="Z145" s="110"/>
      <c r="AA145" s="112" t="s">
        <v>63</v>
      </c>
    </row>
    <row r="146" s="100" customFormat="1" ht="107" customHeight="1" spans="1:27">
      <c r="A146" s="110">
        <v>125</v>
      </c>
      <c r="B146" s="110" t="s">
        <v>948</v>
      </c>
      <c r="C146" s="110" t="s">
        <v>742</v>
      </c>
      <c r="D146" s="110" t="s">
        <v>669</v>
      </c>
      <c r="E146" s="110" t="s">
        <v>673</v>
      </c>
      <c r="F146" s="110" t="s">
        <v>40</v>
      </c>
      <c r="G146" s="110" t="s">
        <v>242</v>
      </c>
      <c r="H146" s="113" t="s">
        <v>743</v>
      </c>
      <c r="I146" s="110" t="s">
        <v>561</v>
      </c>
      <c r="J146" s="110">
        <v>13.5</v>
      </c>
      <c r="K146" s="118">
        <f t="shared" si="38"/>
        <v>390</v>
      </c>
      <c r="L146" s="118">
        <f t="shared" si="35"/>
        <v>390</v>
      </c>
      <c r="M146" s="118"/>
      <c r="N146" s="118"/>
      <c r="O146" s="118">
        <v>390</v>
      </c>
      <c r="P146" s="118"/>
      <c r="Q146" s="110"/>
      <c r="R146" s="110"/>
      <c r="S146" s="110"/>
      <c r="T146" s="110"/>
      <c r="U146" s="110"/>
      <c r="V146" s="110"/>
      <c r="W146" s="110">
        <v>35</v>
      </c>
      <c r="X146" s="110" t="s">
        <v>739</v>
      </c>
      <c r="Y146" s="130" t="s">
        <v>740</v>
      </c>
      <c r="Z146" s="110"/>
      <c r="AA146" s="112" t="s">
        <v>63</v>
      </c>
    </row>
    <row r="147" s="100" customFormat="1" ht="107" customHeight="1" spans="1:27">
      <c r="A147" s="110">
        <v>126</v>
      </c>
      <c r="B147" s="110" t="s">
        <v>713</v>
      </c>
      <c r="C147" s="110" t="s">
        <v>746</v>
      </c>
      <c r="D147" s="110" t="s">
        <v>669</v>
      </c>
      <c r="E147" s="110" t="s">
        <v>722</v>
      </c>
      <c r="F147" s="110" t="s">
        <v>40</v>
      </c>
      <c r="G147" s="110" t="s">
        <v>257</v>
      </c>
      <c r="H147" s="113" t="s">
        <v>747</v>
      </c>
      <c r="I147" s="110" t="s">
        <v>561</v>
      </c>
      <c r="J147" s="110">
        <v>5.4</v>
      </c>
      <c r="K147" s="118">
        <f t="shared" si="38"/>
        <v>375</v>
      </c>
      <c r="L147" s="118">
        <f t="shared" si="35"/>
        <v>375</v>
      </c>
      <c r="M147" s="118"/>
      <c r="N147" s="118"/>
      <c r="O147" s="118">
        <v>375</v>
      </c>
      <c r="P147" s="118"/>
      <c r="Q147" s="110"/>
      <c r="R147" s="110"/>
      <c r="S147" s="110"/>
      <c r="T147" s="110"/>
      <c r="U147" s="110"/>
      <c r="V147" s="110"/>
      <c r="W147" s="110">
        <v>35</v>
      </c>
      <c r="X147" s="110" t="s">
        <v>739</v>
      </c>
      <c r="Y147" s="130" t="s">
        <v>740</v>
      </c>
      <c r="Z147" s="110"/>
      <c r="AA147" s="112" t="s">
        <v>63</v>
      </c>
    </row>
    <row r="148" s="100" customFormat="1" ht="107" customHeight="1" spans="1:27">
      <c r="A148" s="110">
        <v>127</v>
      </c>
      <c r="B148" s="110" t="s">
        <v>720</v>
      </c>
      <c r="C148" s="110" t="s">
        <v>750</v>
      </c>
      <c r="D148" s="110" t="s">
        <v>669</v>
      </c>
      <c r="E148" s="110" t="s">
        <v>722</v>
      </c>
      <c r="F148" s="110" t="s">
        <v>40</v>
      </c>
      <c r="G148" s="110" t="s">
        <v>751</v>
      </c>
      <c r="H148" s="113" t="s">
        <v>752</v>
      </c>
      <c r="I148" s="110" t="s">
        <v>561</v>
      </c>
      <c r="J148" s="110">
        <v>2</v>
      </c>
      <c r="K148" s="118">
        <f t="shared" si="38"/>
        <v>400</v>
      </c>
      <c r="L148" s="118">
        <f t="shared" si="35"/>
        <v>400</v>
      </c>
      <c r="M148" s="118"/>
      <c r="N148" s="118"/>
      <c r="O148" s="118">
        <v>400</v>
      </c>
      <c r="P148" s="118"/>
      <c r="Q148" s="110"/>
      <c r="R148" s="110"/>
      <c r="S148" s="110"/>
      <c r="T148" s="110"/>
      <c r="U148" s="110"/>
      <c r="V148" s="110"/>
      <c r="W148" s="110">
        <v>35</v>
      </c>
      <c r="X148" s="110" t="s">
        <v>739</v>
      </c>
      <c r="Y148" s="130" t="s">
        <v>740</v>
      </c>
      <c r="Z148" s="110"/>
      <c r="AA148" s="112" t="s">
        <v>63</v>
      </c>
    </row>
    <row r="149" s="100" customFormat="1" ht="107" customHeight="1" spans="1:27">
      <c r="A149" s="110">
        <v>128</v>
      </c>
      <c r="B149" s="110" t="s">
        <v>729</v>
      </c>
      <c r="C149" s="110" t="s">
        <v>755</v>
      </c>
      <c r="D149" s="110" t="s">
        <v>669</v>
      </c>
      <c r="E149" s="110" t="s">
        <v>722</v>
      </c>
      <c r="F149" s="110" t="s">
        <v>40</v>
      </c>
      <c r="G149" s="110" t="s">
        <v>217</v>
      </c>
      <c r="H149" s="113" t="s">
        <v>949</v>
      </c>
      <c r="I149" s="110" t="s">
        <v>561</v>
      </c>
      <c r="J149" s="110">
        <v>5.62</v>
      </c>
      <c r="K149" s="118">
        <f t="shared" si="38"/>
        <v>390</v>
      </c>
      <c r="L149" s="118">
        <f t="shared" si="35"/>
        <v>390</v>
      </c>
      <c r="M149" s="118"/>
      <c r="N149" s="118"/>
      <c r="O149" s="118">
        <v>390</v>
      </c>
      <c r="P149" s="118"/>
      <c r="Q149" s="110"/>
      <c r="R149" s="110"/>
      <c r="S149" s="110"/>
      <c r="T149" s="110"/>
      <c r="U149" s="110"/>
      <c r="V149" s="110"/>
      <c r="W149" s="110">
        <v>40</v>
      </c>
      <c r="X149" s="110" t="s">
        <v>739</v>
      </c>
      <c r="Y149" s="130" t="s">
        <v>740</v>
      </c>
      <c r="Z149" s="110"/>
      <c r="AA149" s="112" t="s">
        <v>63</v>
      </c>
    </row>
    <row r="150" s="100" customFormat="1" ht="107" customHeight="1" spans="1:27">
      <c r="A150" s="110">
        <v>129</v>
      </c>
      <c r="B150" s="110" t="s">
        <v>734</v>
      </c>
      <c r="C150" s="110" t="s">
        <v>759</v>
      </c>
      <c r="D150" s="110" t="s">
        <v>669</v>
      </c>
      <c r="E150" s="110" t="s">
        <v>722</v>
      </c>
      <c r="F150" s="110" t="s">
        <v>40</v>
      </c>
      <c r="G150" s="110" t="s">
        <v>262</v>
      </c>
      <c r="H150" s="113" t="s">
        <v>760</v>
      </c>
      <c r="I150" s="110" t="s">
        <v>561</v>
      </c>
      <c r="J150" s="110">
        <v>5.5</v>
      </c>
      <c r="K150" s="118">
        <f t="shared" si="38"/>
        <v>395</v>
      </c>
      <c r="L150" s="118">
        <f t="shared" si="35"/>
        <v>395</v>
      </c>
      <c r="M150" s="118"/>
      <c r="N150" s="118"/>
      <c r="O150" s="118">
        <v>395</v>
      </c>
      <c r="P150" s="118"/>
      <c r="Q150" s="110"/>
      <c r="R150" s="110"/>
      <c r="S150" s="110"/>
      <c r="T150" s="110"/>
      <c r="U150" s="110"/>
      <c r="V150" s="110"/>
      <c r="W150" s="110">
        <v>35</v>
      </c>
      <c r="X150" s="110" t="s">
        <v>739</v>
      </c>
      <c r="Y150" s="130" t="s">
        <v>740</v>
      </c>
      <c r="Z150" s="110"/>
      <c r="AA150" s="112" t="s">
        <v>63</v>
      </c>
    </row>
    <row r="151" s="100" customFormat="1" ht="107" customHeight="1" spans="1:27">
      <c r="A151" s="110">
        <v>130</v>
      </c>
      <c r="B151" s="110" t="s">
        <v>741</v>
      </c>
      <c r="C151" s="110" t="s">
        <v>763</v>
      </c>
      <c r="D151" s="110" t="s">
        <v>669</v>
      </c>
      <c r="E151" s="110" t="s">
        <v>673</v>
      </c>
      <c r="F151" s="110" t="s">
        <v>40</v>
      </c>
      <c r="G151" s="110" t="s">
        <v>252</v>
      </c>
      <c r="H151" s="113" t="s">
        <v>764</v>
      </c>
      <c r="I151" s="110" t="s">
        <v>385</v>
      </c>
      <c r="J151" s="110">
        <v>2.4</v>
      </c>
      <c r="K151" s="118">
        <f t="shared" si="38"/>
        <v>400</v>
      </c>
      <c r="L151" s="118">
        <f t="shared" si="35"/>
        <v>400</v>
      </c>
      <c r="M151" s="118"/>
      <c r="N151" s="118"/>
      <c r="O151" s="118">
        <v>400</v>
      </c>
      <c r="P151" s="118"/>
      <c r="Q151" s="110"/>
      <c r="R151" s="110"/>
      <c r="S151" s="110"/>
      <c r="T151" s="110"/>
      <c r="U151" s="110"/>
      <c r="V151" s="110"/>
      <c r="W151" s="110">
        <v>40</v>
      </c>
      <c r="X151" s="110" t="s">
        <v>739</v>
      </c>
      <c r="Y151" s="130" t="s">
        <v>740</v>
      </c>
      <c r="Z151" s="110"/>
      <c r="AA151" s="112" t="s">
        <v>63</v>
      </c>
    </row>
    <row r="152" s="100" customFormat="1" ht="107" customHeight="1" spans="1:27">
      <c r="A152" s="110">
        <v>131</v>
      </c>
      <c r="B152" s="110" t="s">
        <v>745</v>
      </c>
      <c r="C152" s="110" t="s">
        <v>767</v>
      </c>
      <c r="D152" s="110" t="s">
        <v>669</v>
      </c>
      <c r="E152" s="110" t="s">
        <v>722</v>
      </c>
      <c r="F152" s="110" t="s">
        <v>40</v>
      </c>
      <c r="G152" s="110" t="s">
        <v>237</v>
      </c>
      <c r="H152" s="113" t="s">
        <v>768</v>
      </c>
      <c r="I152" s="110" t="s">
        <v>561</v>
      </c>
      <c r="J152" s="110">
        <v>0.6</v>
      </c>
      <c r="K152" s="118">
        <f t="shared" si="38"/>
        <v>400</v>
      </c>
      <c r="L152" s="118">
        <f t="shared" si="35"/>
        <v>400</v>
      </c>
      <c r="M152" s="118"/>
      <c r="N152" s="118"/>
      <c r="O152" s="118">
        <v>400</v>
      </c>
      <c r="P152" s="118"/>
      <c r="Q152" s="110"/>
      <c r="R152" s="110"/>
      <c r="S152" s="110"/>
      <c r="T152" s="110"/>
      <c r="U152" s="110"/>
      <c r="V152" s="110"/>
      <c r="W152" s="110">
        <v>45</v>
      </c>
      <c r="X152" s="110" t="s">
        <v>739</v>
      </c>
      <c r="Y152" s="130" t="s">
        <v>740</v>
      </c>
      <c r="Z152" s="110"/>
      <c r="AA152" s="112" t="s">
        <v>63</v>
      </c>
    </row>
    <row r="153" s="100" customFormat="1" ht="107" customHeight="1" spans="1:27">
      <c r="A153" s="110">
        <v>132</v>
      </c>
      <c r="B153" s="110" t="s">
        <v>749</v>
      </c>
      <c r="C153" s="110" t="s">
        <v>771</v>
      </c>
      <c r="D153" s="110" t="s">
        <v>669</v>
      </c>
      <c r="E153" s="110" t="s">
        <v>722</v>
      </c>
      <c r="F153" s="110" t="s">
        <v>40</v>
      </c>
      <c r="G153" s="110" t="s">
        <v>222</v>
      </c>
      <c r="H153" s="113" t="s">
        <v>950</v>
      </c>
      <c r="I153" s="110" t="s">
        <v>561</v>
      </c>
      <c r="J153" s="110">
        <v>3.9</v>
      </c>
      <c r="K153" s="118">
        <f t="shared" si="38"/>
        <v>274</v>
      </c>
      <c r="L153" s="118">
        <f t="shared" si="35"/>
        <v>274</v>
      </c>
      <c r="M153" s="118"/>
      <c r="N153" s="118"/>
      <c r="O153" s="118">
        <v>274</v>
      </c>
      <c r="P153" s="118"/>
      <c r="Q153" s="110"/>
      <c r="R153" s="110"/>
      <c r="S153" s="110"/>
      <c r="T153" s="110"/>
      <c r="U153" s="110"/>
      <c r="V153" s="110"/>
      <c r="W153" s="110">
        <v>30</v>
      </c>
      <c r="X153" s="110" t="s">
        <v>739</v>
      </c>
      <c r="Y153" s="130" t="s">
        <v>740</v>
      </c>
      <c r="Z153" s="110"/>
      <c r="AA153" s="112" t="s">
        <v>63</v>
      </c>
    </row>
    <row r="154" s="100" customFormat="1" ht="107" customHeight="1" spans="1:27">
      <c r="A154" s="110">
        <v>133</v>
      </c>
      <c r="B154" s="110" t="s">
        <v>754</v>
      </c>
      <c r="C154" s="110" t="s">
        <v>775</v>
      </c>
      <c r="D154" s="110" t="s">
        <v>669</v>
      </c>
      <c r="E154" s="110" t="s">
        <v>722</v>
      </c>
      <c r="F154" s="110" t="s">
        <v>40</v>
      </c>
      <c r="G154" s="110" t="s">
        <v>207</v>
      </c>
      <c r="H154" s="113" t="s">
        <v>776</v>
      </c>
      <c r="I154" s="110" t="s">
        <v>777</v>
      </c>
      <c r="J154" s="110">
        <v>30</v>
      </c>
      <c r="K154" s="118">
        <f t="shared" si="38"/>
        <v>120</v>
      </c>
      <c r="L154" s="118">
        <f t="shared" si="35"/>
        <v>120</v>
      </c>
      <c r="M154" s="118"/>
      <c r="N154" s="118"/>
      <c r="O154" s="118">
        <v>120</v>
      </c>
      <c r="P154" s="118"/>
      <c r="Q154" s="110"/>
      <c r="R154" s="110"/>
      <c r="S154" s="110"/>
      <c r="T154" s="110"/>
      <c r="U154" s="110"/>
      <c r="V154" s="110"/>
      <c r="W154" s="110">
        <v>15</v>
      </c>
      <c r="X154" s="110" t="s">
        <v>739</v>
      </c>
      <c r="Y154" s="130" t="s">
        <v>740</v>
      </c>
      <c r="Z154" s="110"/>
      <c r="AA154" s="112" t="s">
        <v>63</v>
      </c>
    </row>
    <row r="155" s="100" customFormat="1" ht="107" customHeight="1" spans="1:27">
      <c r="A155" s="110">
        <v>134</v>
      </c>
      <c r="B155" s="110" t="s">
        <v>758</v>
      </c>
      <c r="C155" s="110" t="s">
        <v>780</v>
      </c>
      <c r="D155" s="110" t="s">
        <v>669</v>
      </c>
      <c r="E155" s="110" t="s">
        <v>722</v>
      </c>
      <c r="F155" s="110" t="s">
        <v>40</v>
      </c>
      <c r="G155" s="110" t="s">
        <v>267</v>
      </c>
      <c r="H155" s="113" t="s">
        <v>781</v>
      </c>
      <c r="I155" s="110" t="s">
        <v>561</v>
      </c>
      <c r="J155" s="110">
        <v>5.6</v>
      </c>
      <c r="K155" s="118">
        <f t="shared" si="38"/>
        <v>392</v>
      </c>
      <c r="L155" s="118">
        <f t="shared" si="35"/>
        <v>392</v>
      </c>
      <c r="M155" s="118"/>
      <c r="N155" s="118"/>
      <c r="O155" s="118">
        <v>392</v>
      </c>
      <c r="P155" s="118"/>
      <c r="Q155" s="110"/>
      <c r="R155" s="110"/>
      <c r="S155" s="110"/>
      <c r="T155" s="110"/>
      <c r="U155" s="110"/>
      <c r="V155" s="110"/>
      <c r="W155" s="110">
        <v>35</v>
      </c>
      <c r="X155" s="110" t="s">
        <v>739</v>
      </c>
      <c r="Y155" s="130" t="s">
        <v>740</v>
      </c>
      <c r="Z155" s="110"/>
      <c r="AA155" s="112" t="s">
        <v>63</v>
      </c>
    </row>
    <row r="156" s="100" customFormat="1" ht="107" customHeight="1" spans="1:27">
      <c r="A156" s="110">
        <v>135</v>
      </c>
      <c r="B156" s="110" t="s">
        <v>762</v>
      </c>
      <c r="C156" s="110" t="s">
        <v>784</v>
      </c>
      <c r="D156" s="110" t="s">
        <v>669</v>
      </c>
      <c r="E156" s="110" t="s">
        <v>673</v>
      </c>
      <c r="F156" s="110" t="s">
        <v>40</v>
      </c>
      <c r="G156" s="110" t="s">
        <v>284</v>
      </c>
      <c r="H156" s="113" t="s">
        <v>785</v>
      </c>
      <c r="I156" s="110" t="s">
        <v>385</v>
      </c>
      <c r="J156" s="110">
        <v>2.438</v>
      </c>
      <c r="K156" s="118">
        <f t="shared" si="38"/>
        <v>398</v>
      </c>
      <c r="L156" s="118">
        <f t="shared" si="35"/>
        <v>398</v>
      </c>
      <c r="M156" s="118"/>
      <c r="N156" s="118"/>
      <c r="O156" s="118">
        <v>398</v>
      </c>
      <c r="P156" s="118"/>
      <c r="Q156" s="110"/>
      <c r="R156" s="110"/>
      <c r="S156" s="110"/>
      <c r="T156" s="110"/>
      <c r="U156" s="110"/>
      <c r="V156" s="110"/>
      <c r="W156" s="110">
        <v>40</v>
      </c>
      <c r="X156" s="110" t="s">
        <v>739</v>
      </c>
      <c r="Y156" s="130" t="s">
        <v>740</v>
      </c>
      <c r="Z156" s="110"/>
      <c r="AA156" s="112" t="s">
        <v>63</v>
      </c>
    </row>
    <row r="157" s="100" customFormat="1" ht="107" customHeight="1" spans="1:27">
      <c r="A157" s="110">
        <v>136</v>
      </c>
      <c r="B157" s="110" t="s">
        <v>766</v>
      </c>
      <c r="C157" s="110" t="s">
        <v>788</v>
      </c>
      <c r="D157" s="110" t="s">
        <v>669</v>
      </c>
      <c r="E157" s="110" t="s">
        <v>673</v>
      </c>
      <c r="F157" s="110" t="s">
        <v>40</v>
      </c>
      <c r="G157" s="110" t="s">
        <v>212</v>
      </c>
      <c r="H157" s="113" t="s">
        <v>789</v>
      </c>
      <c r="I157" s="110" t="s">
        <v>561</v>
      </c>
      <c r="J157" s="110">
        <v>3</v>
      </c>
      <c r="K157" s="118">
        <f t="shared" si="38"/>
        <v>167</v>
      </c>
      <c r="L157" s="118">
        <f t="shared" si="35"/>
        <v>167</v>
      </c>
      <c r="M157" s="118"/>
      <c r="N157" s="118"/>
      <c r="O157" s="118">
        <v>167</v>
      </c>
      <c r="P157" s="118"/>
      <c r="Q157" s="110"/>
      <c r="R157" s="110"/>
      <c r="S157" s="110"/>
      <c r="T157" s="110"/>
      <c r="U157" s="110"/>
      <c r="V157" s="110"/>
      <c r="W157" s="110">
        <v>20</v>
      </c>
      <c r="X157" s="110" t="s">
        <v>739</v>
      </c>
      <c r="Y157" s="130" t="s">
        <v>740</v>
      </c>
      <c r="Z157" s="110"/>
      <c r="AA157" s="112" t="s">
        <v>63</v>
      </c>
    </row>
    <row r="158" s="100" customFormat="1" ht="107" customHeight="1" spans="1:27">
      <c r="A158" s="110">
        <v>137</v>
      </c>
      <c r="B158" s="110" t="s">
        <v>770</v>
      </c>
      <c r="C158" s="110" t="s">
        <v>792</v>
      </c>
      <c r="D158" s="110" t="s">
        <v>669</v>
      </c>
      <c r="E158" s="110" t="s">
        <v>722</v>
      </c>
      <c r="F158" s="110" t="s">
        <v>40</v>
      </c>
      <c r="G158" s="110" t="s">
        <v>793</v>
      </c>
      <c r="H158" s="113" t="s">
        <v>951</v>
      </c>
      <c r="I158" s="110" t="s">
        <v>561</v>
      </c>
      <c r="J158" s="110">
        <v>3</v>
      </c>
      <c r="K158" s="118">
        <f t="shared" si="38"/>
        <v>210</v>
      </c>
      <c r="L158" s="118">
        <f t="shared" si="35"/>
        <v>210</v>
      </c>
      <c r="M158" s="118"/>
      <c r="N158" s="118"/>
      <c r="O158" s="118">
        <v>210</v>
      </c>
      <c r="P158" s="118"/>
      <c r="Q158" s="110"/>
      <c r="R158" s="110"/>
      <c r="S158" s="110"/>
      <c r="T158" s="110"/>
      <c r="U158" s="110"/>
      <c r="V158" s="110"/>
      <c r="W158" s="110">
        <v>45</v>
      </c>
      <c r="X158" s="110" t="s">
        <v>739</v>
      </c>
      <c r="Y158" s="130" t="s">
        <v>740</v>
      </c>
      <c r="Z158" s="110"/>
      <c r="AA158" s="112" t="s">
        <v>63</v>
      </c>
    </row>
    <row r="159" s="100" customFormat="1" ht="107" customHeight="1" spans="1:27">
      <c r="A159" s="110">
        <v>138</v>
      </c>
      <c r="B159" s="110" t="s">
        <v>774</v>
      </c>
      <c r="C159" s="110" t="s">
        <v>797</v>
      </c>
      <c r="D159" s="110" t="s">
        <v>669</v>
      </c>
      <c r="E159" s="110" t="s">
        <v>722</v>
      </c>
      <c r="F159" s="110" t="s">
        <v>40</v>
      </c>
      <c r="G159" s="110" t="s">
        <v>227</v>
      </c>
      <c r="H159" s="113" t="s">
        <v>952</v>
      </c>
      <c r="I159" s="110" t="s">
        <v>561</v>
      </c>
      <c r="J159" s="110">
        <v>5.5</v>
      </c>
      <c r="K159" s="118">
        <f t="shared" si="38"/>
        <v>385</v>
      </c>
      <c r="L159" s="118">
        <f t="shared" si="35"/>
        <v>385</v>
      </c>
      <c r="M159" s="118"/>
      <c r="N159" s="118"/>
      <c r="O159" s="118">
        <v>385</v>
      </c>
      <c r="P159" s="118"/>
      <c r="Q159" s="110"/>
      <c r="R159" s="110"/>
      <c r="S159" s="110"/>
      <c r="T159" s="110"/>
      <c r="U159" s="110"/>
      <c r="V159" s="110"/>
      <c r="W159" s="110">
        <v>50</v>
      </c>
      <c r="X159" s="110" t="s">
        <v>739</v>
      </c>
      <c r="Y159" s="130" t="s">
        <v>740</v>
      </c>
      <c r="Z159" s="110"/>
      <c r="AA159" s="112" t="s">
        <v>63</v>
      </c>
    </row>
    <row r="160" s="100" customFormat="1" ht="107" customHeight="1" spans="1:27">
      <c r="A160" s="110">
        <v>139</v>
      </c>
      <c r="B160" s="110" t="s">
        <v>779</v>
      </c>
      <c r="C160" s="110" t="s">
        <v>801</v>
      </c>
      <c r="D160" s="110" t="s">
        <v>669</v>
      </c>
      <c r="E160" s="110" t="s">
        <v>673</v>
      </c>
      <c r="F160" s="110" t="s">
        <v>40</v>
      </c>
      <c r="G160" s="110" t="s">
        <v>609</v>
      </c>
      <c r="H160" s="113" t="s">
        <v>802</v>
      </c>
      <c r="I160" s="110" t="s">
        <v>561</v>
      </c>
      <c r="J160" s="110">
        <v>2.94</v>
      </c>
      <c r="K160" s="118">
        <f t="shared" si="38"/>
        <v>395</v>
      </c>
      <c r="L160" s="118">
        <f t="shared" si="35"/>
        <v>395</v>
      </c>
      <c r="M160" s="118"/>
      <c r="N160" s="118"/>
      <c r="O160" s="118">
        <v>395</v>
      </c>
      <c r="P160" s="118"/>
      <c r="Q160" s="110"/>
      <c r="R160" s="110"/>
      <c r="S160" s="110"/>
      <c r="T160" s="110"/>
      <c r="U160" s="110"/>
      <c r="V160" s="110"/>
      <c r="W160" s="110">
        <v>30</v>
      </c>
      <c r="X160" s="110" t="s">
        <v>739</v>
      </c>
      <c r="Y160" s="130" t="s">
        <v>740</v>
      </c>
      <c r="Z160" s="110"/>
      <c r="AA160" s="112" t="s">
        <v>63</v>
      </c>
    </row>
    <row r="161" s="101" customFormat="1" ht="43" customHeight="1" spans="1:27">
      <c r="A161" s="116" t="s">
        <v>804</v>
      </c>
      <c r="B161" s="141" t="s">
        <v>805</v>
      </c>
      <c r="C161" s="142"/>
      <c r="D161" s="115"/>
      <c r="E161" s="116"/>
      <c r="F161" s="116"/>
      <c r="G161" s="116"/>
      <c r="H161" s="116">
        <v>1</v>
      </c>
      <c r="I161" s="120"/>
      <c r="J161" s="120">
        <f>K161/K7</f>
        <v>0.0271808231676486</v>
      </c>
      <c r="K161" s="121">
        <f t="shared" ref="K161:V161" si="39">SUM(K162)</f>
        <v>3600</v>
      </c>
      <c r="L161" s="121">
        <f t="shared" si="39"/>
        <v>3600</v>
      </c>
      <c r="M161" s="121">
        <f t="shared" si="39"/>
        <v>3600</v>
      </c>
      <c r="N161" s="121">
        <f t="shared" si="39"/>
        <v>0</v>
      </c>
      <c r="O161" s="121">
        <f t="shared" si="39"/>
        <v>0</v>
      </c>
      <c r="P161" s="121">
        <f t="shared" si="39"/>
        <v>0</v>
      </c>
      <c r="Q161" s="121">
        <f t="shared" si="39"/>
        <v>0</v>
      </c>
      <c r="R161" s="121">
        <f t="shared" si="39"/>
        <v>0</v>
      </c>
      <c r="S161" s="121">
        <f t="shared" si="39"/>
        <v>0</v>
      </c>
      <c r="T161" s="121">
        <f t="shared" si="39"/>
        <v>0</v>
      </c>
      <c r="U161" s="121">
        <f t="shared" si="39"/>
        <v>0</v>
      </c>
      <c r="V161" s="121">
        <f t="shared" si="39"/>
        <v>0</v>
      </c>
      <c r="W161" s="116"/>
      <c r="X161" s="121"/>
      <c r="Y161" s="121"/>
      <c r="Z161" s="121"/>
      <c r="AA161" s="131"/>
    </row>
    <row r="162" s="103" customFormat="1" ht="129" customHeight="1" spans="1:27">
      <c r="A162" s="110">
        <v>140</v>
      </c>
      <c r="B162" s="110" t="s">
        <v>783</v>
      </c>
      <c r="C162" s="110" t="s">
        <v>807</v>
      </c>
      <c r="D162" s="110" t="s">
        <v>808</v>
      </c>
      <c r="E162" s="110" t="s">
        <v>809</v>
      </c>
      <c r="F162" s="110" t="s">
        <v>40</v>
      </c>
      <c r="G162" s="110" t="s">
        <v>819</v>
      </c>
      <c r="H162" s="113" t="s">
        <v>810</v>
      </c>
      <c r="I162" s="110" t="s">
        <v>642</v>
      </c>
      <c r="J162" s="110">
        <v>12000</v>
      </c>
      <c r="K162" s="118">
        <f t="shared" ref="K162:K166" si="40">SUM(L162,T162:V162)</f>
        <v>3600</v>
      </c>
      <c r="L162" s="118">
        <f t="shared" ref="L162:L166" si="41">SUM(M162:S162)</f>
        <v>3600</v>
      </c>
      <c r="M162" s="118">
        <f>J162*0.3</f>
        <v>3600</v>
      </c>
      <c r="N162" s="118"/>
      <c r="O162" s="118"/>
      <c r="P162" s="118"/>
      <c r="Q162" s="110"/>
      <c r="R162" s="110"/>
      <c r="S162" s="110"/>
      <c r="T162" s="110"/>
      <c r="U162" s="110"/>
      <c r="V162" s="110"/>
      <c r="W162" s="110">
        <v>12000</v>
      </c>
      <c r="X162" s="110" t="s">
        <v>812</v>
      </c>
      <c r="Y162" s="110" t="s">
        <v>813</v>
      </c>
      <c r="Z162" s="110"/>
      <c r="AA162" s="112" t="s">
        <v>63</v>
      </c>
    </row>
    <row r="163" s="101" customFormat="1" ht="43" customHeight="1" spans="1:27">
      <c r="A163" s="116" t="s">
        <v>814</v>
      </c>
      <c r="B163" s="141" t="s">
        <v>815</v>
      </c>
      <c r="C163" s="142"/>
      <c r="D163" s="115"/>
      <c r="E163" s="116"/>
      <c r="F163" s="116"/>
      <c r="G163" s="116"/>
      <c r="H163" s="116">
        <v>1</v>
      </c>
      <c r="I163" s="120"/>
      <c r="J163" s="120">
        <f>K163/K7</f>
        <v>0.0162798030316899</v>
      </c>
      <c r="K163" s="121">
        <f t="shared" ref="K163:V163" si="42">SUM(K164)</f>
        <v>2156.2</v>
      </c>
      <c r="L163" s="121">
        <f t="shared" si="42"/>
        <v>2156.2</v>
      </c>
      <c r="M163" s="121">
        <f t="shared" si="42"/>
        <v>2156.2</v>
      </c>
      <c r="N163" s="121">
        <f t="shared" si="42"/>
        <v>0</v>
      </c>
      <c r="O163" s="121">
        <f t="shared" si="42"/>
        <v>0</v>
      </c>
      <c r="P163" s="121">
        <f t="shared" si="42"/>
        <v>0</v>
      </c>
      <c r="Q163" s="121">
        <f t="shared" si="42"/>
        <v>0</v>
      </c>
      <c r="R163" s="121">
        <f t="shared" si="42"/>
        <v>0</v>
      </c>
      <c r="S163" s="121">
        <f t="shared" si="42"/>
        <v>0</v>
      </c>
      <c r="T163" s="121">
        <f t="shared" si="42"/>
        <v>0</v>
      </c>
      <c r="U163" s="121">
        <f t="shared" si="42"/>
        <v>0</v>
      </c>
      <c r="V163" s="121">
        <f t="shared" si="42"/>
        <v>0</v>
      </c>
      <c r="W163" s="116"/>
      <c r="X163" s="121"/>
      <c r="Y163" s="121"/>
      <c r="Z163" s="121"/>
      <c r="AA163" s="131"/>
    </row>
    <row r="164" s="100" customFormat="1" ht="85" customHeight="1" spans="1:27">
      <c r="A164" s="110">
        <v>141</v>
      </c>
      <c r="B164" s="110" t="s">
        <v>787</v>
      </c>
      <c r="C164" s="110" t="s">
        <v>817</v>
      </c>
      <c r="D164" s="110" t="s">
        <v>815</v>
      </c>
      <c r="E164" s="110" t="s">
        <v>818</v>
      </c>
      <c r="F164" s="110" t="s">
        <v>40</v>
      </c>
      <c r="G164" s="110" t="s">
        <v>819</v>
      </c>
      <c r="H164" s="113" t="s">
        <v>820</v>
      </c>
      <c r="I164" s="110" t="s">
        <v>821</v>
      </c>
      <c r="J164" s="110">
        <v>2156.2</v>
      </c>
      <c r="K164" s="118">
        <f t="shared" si="40"/>
        <v>2156.2</v>
      </c>
      <c r="L164" s="118">
        <f t="shared" si="41"/>
        <v>2156.2</v>
      </c>
      <c r="M164" s="118">
        <v>2156.2</v>
      </c>
      <c r="N164" s="118"/>
      <c r="O164" s="118"/>
      <c r="P164" s="118"/>
      <c r="Q164" s="110"/>
      <c r="R164" s="110"/>
      <c r="S164" s="110"/>
      <c r="T164" s="110"/>
      <c r="U164" s="110"/>
      <c r="V164" s="110"/>
      <c r="W164" s="110">
        <v>12367</v>
      </c>
      <c r="X164" s="110" t="s">
        <v>823</v>
      </c>
      <c r="Y164" s="110" t="s">
        <v>824</v>
      </c>
      <c r="Z164" s="110"/>
      <c r="AA164" s="112" t="s">
        <v>857</v>
      </c>
    </row>
    <row r="165" s="101" customFormat="1" ht="43" customHeight="1" spans="1:27">
      <c r="A165" s="116" t="s">
        <v>825</v>
      </c>
      <c r="B165" s="141" t="s">
        <v>826</v>
      </c>
      <c r="C165" s="142"/>
      <c r="D165" s="115"/>
      <c r="E165" s="116"/>
      <c r="F165" s="116"/>
      <c r="G165" s="116"/>
      <c r="H165" s="116">
        <v>1</v>
      </c>
      <c r="I165" s="120"/>
      <c r="J165" s="120">
        <f>K165/K7</f>
        <v>0.00377511432884008</v>
      </c>
      <c r="K165" s="121">
        <f t="shared" ref="K165:V165" si="43">SUM(K166)</f>
        <v>500</v>
      </c>
      <c r="L165" s="121">
        <f t="shared" si="43"/>
        <v>500</v>
      </c>
      <c r="M165" s="121">
        <f t="shared" si="43"/>
        <v>500</v>
      </c>
      <c r="N165" s="121">
        <f t="shared" si="43"/>
        <v>0</v>
      </c>
      <c r="O165" s="121">
        <f t="shared" si="43"/>
        <v>0</v>
      </c>
      <c r="P165" s="121">
        <f t="shared" si="43"/>
        <v>0</v>
      </c>
      <c r="Q165" s="121">
        <f t="shared" si="43"/>
        <v>0</v>
      </c>
      <c r="R165" s="121">
        <f t="shared" si="43"/>
        <v>0</v>
      </c>
      <c r="S165" s="121">
        <f t="shared" si="43"/>
        <v>0</v>
      </c>
      <c r="T165" s="121">
        <f t="shared" si="43"/>
        <v>0</v>
      </c>
      <c r="U165" s="121">
        <f t="shared" si="43"/>
        <v>0</v>
      </c>
      <c r="V165" s="121">
        <f t="shared" si="43"/>
        <v>0</v>
      </c>
      <c r="W165" s="116"/>
      <c r="X165" s="121"/>
      <c r="Y165" s="121"/>
      <c r="Z165" s="121"/>
      <c r="AA165" s="131"/>
    </row>
    <row r="166" s="100" customFormat="1" ht="124" customHeight="1" spans="1:27">
      <c r="A166" s="110">
        <v>142</v>
      </c>
      <c r="B166" s="110" t="s">
        <v>791</v>
      </c>
      <c r="C166" s="110" t="s">
        <v>828</v>
      </c>
      <c r="D166" s="110" t="s">
        <v>826</v>
      </c>
      <c r="E166" s="110" t="s">
        <v>826</v>
      </c>
      <c r="F166" s="110" t="s">
        <v>40</v>
      </c>
      <c r="G166" s="110" t="s">
        <v>819</v>
      </c>
      <c r="H166" s="113" t="s">
        <v>829</v>
      </c>
      <c r="I166" s="110" t="s">
        <v>821</v>
      </c>
      <c r="J166" s="110">
        <v>500</v>
      </c>
      <c r="K166" s="118">
        <f t="shared" si="40"/>
        <v>500</v>
      </c>
      <c r="L166" s="118">
        <f t="shared" si="41"/>
        <v>500</v>
      </c>
      <c r="M166" s="118">
        <v>500</v>
      </c>
      <c r="N166" s="118"/>
      <c r="O166" s="118"/>
      <c r="P166" s="118"/>
      <c r="Q166" s="110"/>
      <c r="R166" s="110"/>
      <c r="S166" s="110"/>
      <c r="T166" s="110"/>
      <c r="U166" s="110"/>
      <c r="V166" s="110"/>
      <c r="W166" s="110"/>
      <c r="X166" s="110" t="s">
        <v>80</v>
      </c>
      <c r="Y166" s="110" t="s">
        <v>81</v>
      </c>
      <c r="Z166" s="110"/>
      <c r="AA166" s="112" t="s">
        <v>849</v>
      </c>
    </row>
    <row r="167" s="101" customFormat="1" ht="43" customHeight="1" spans="1:27">
      <c r="A167" s="116" t="s">
        <v>831</v>
      </c>
      <c r="B167" s="141" t="s">
        <v>832</v>
      </c>
      <c r="C167" s="142"/>
      <c r="D167" s="115"/>
      <c r="E167" s="116"/>
      <c r="F167" s="116"/>
      <c r="G167" s="116"/>
      <c r="H167" s="116">
        <v>2</v>
      </c>
      <c r="I167" s="120"/>
      <c r="J167" s="120">
        <f>K167/K7</f>
        <v>0.00149494527422067</v>
      </c>
      <c r="K167" s="121">
        <f t="shared" ref="K167:M167" si="44">SUM(K168:K169)</f>
        <v>198</v>
      </c>
      <c r="L167" s="121">
        <f t="shared" si="44"/>
        <v>198</v>
      </c>
      <c r="M167" s="121">
        <f t="shared" si="44"/>
        <v>150</v>
      </c>
      <c r="N167" s="121">
        <f t="shared" ref="N167:V167" si="45">SUM(N168)</f>
        <v>0</v>
      </c>
      <c r="O167" s="121">
        <f t="shared" si="45"/>
        <v>0</v>
      </c>
      <c r="P167" s="121">
        <f t="shared" si="45"/>
        <v>48</v>
      </c>
      <c r="Q167" s="121">
        <f t="shared" si="45"/>
        <v>0</v>
      </c>
      <c r="R167" s="121">
        <f t="shared" si="45"/>
        <v>0</v>
      </c>
      <c r="S167" s="121">
        <f t="shared" si="45"/>
        <v>0</v>
      </c>
      <c r="T167" s="121">
        <f t="shared" si="45"/>
        <v>0</v>
      </c>
      <c r="U167" s="121">
        <f t="shared" si="45"/>
        <v>0</v>
      </c>
      <c r="V167" s="121">
        <f t="shared" si="45"/>
        <v>0</v>
      </c>
      <c r="W167" s="116"/>
      <c r="X167" s="121"/>
      <c r="Y167" s="121"/>
      <c r="Z167" s="121"/>
      <c r="AA167" s="131"/>
    </row>
    <row r="168" s="100" customFormat="1" ht="89" customHeight="1" spans="1:27">
      <c r="A168" s="110">
        <v>143</v>
      </c>
      <c r="B168" s="110" t="s">
        <v>796</v>
      </c>
      <c r="C168" s="110" t="s">
        <v>834</v>
      </c>
      <c r="D168" s="110" t="s">
        <v>835</v>
      </c>
      <c r="E168" s="110" t="s">
        <v>836</v>
      </c>
      <c r="F168" s="110" t="s">
        <v>40</v>
      </c>
      <c r="G168" s="110" t="s">
        <v>819</v>
      </c>
      <c r="H168" s="113" t="s">
        <v>837</v>
      </c>
      <c r="I168" s="110" t="s">
        <v>187</v>
      </c>
      <c r="J168" s="110">
        <v>10185</v>
      </c>
      <c r="K168" s="118">
        <f>SUM(L168,T168:V168)</f>
        <v>48</v>
      </c>
      <c r="L168" s="118">
        <f>SUM(M168:S168)</f>
        <v>48</v>
      </c>
      <c r="M168" s="118"/>
      <c r="N168" s="118"/>
      <c r="O168" s="118"/>
      <c r="P168" s="118">
        <v>48</v>
      </c>
      <c r="Q168" s="110"/>
      <c r="R168" s="110"/>
      <c r="S168" s="110"/>
      <c r="T168" s="110"/>
      <c r="U168" s="110"/>
      <c r="V168" s="110"/>
      <c r="W168" s="110">
        <v>10023</v>
      </c>
      <c r="X168" s="110" t="s">
        <v>536</v>
      </c>
      <c r="Y168" s="110" t="s">
        <v>537</v>
      </c>
      <c r="Z168" s="110"/>
      <c r="AA168" s="112" t="s">
        <v>63</v>
      </c>
    </row>
    <row r="169" s="100" customFormat="1" ht="89" customHeight="1" spans="1:27">
      <c r="A169" s="110">
        <v>144</v>
      </c>
      <c r="B169" s="110" t="s">
        <v>800</v>
      </c>
      <c r="C169" s="110" t="s">
        <v>840</v>
      </c>
      <c r="D169" s="110" t="s">
        <v>632</v>
      </c>
      <c r="E169" s="110" t="s">
        <v>841</v>
      </c>
      <c r="F169" s="110" t="s">
        <v>40</v>
      </c>
      <c r="G169" s="110" t="s">
        <v>819</v>
      </c>
      <c r="H169" s="113" t="s">
        <v>842</v>
      </c>
      <c r="I169" s="110" t="s">
        <v>642</v>
      </c>
      <c r="J169" s="110">
        <v>500</v>
      </c>
      <c r="K169" s="118">
        <f>SUM(L169,T169:V169)</f>
        <v>150</v>
      </c>
      <c r="L169" s="118">
        <f>SUM(M169:S169)</f>
        <v>150</v>
      </c>
      <c r="M169" s="118">
        <v>150</v>
      </c>
      <c r="N169" s="118"/>
      <c r="O169" s="118"/>
      <c r="P169" s="118"/>
      <c r="Q169" s="110"/>
      <c r="R169" s="110"/>
      <c r="S169" s="110"/>
      <c r="T169" s="110"/>
      <c r="U169" s="110"/>
      <c r="V169" s="110"/>
      <c r="W169" s="110">
        <v>2000</v>
      </c>
      <c r="X169" s="110" t="s">
        <v>80</v>
      </c>
      <c r="Y169" s="110" t="s">
        <v>81</v>
      </c>
      <c r="Z169" s="110"/>
      <c r="AA169" s="112" t="s">
        <v>857</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30" sqref="H30"/>
    </sheetView>
  </sheetViews>
  <sheetFormatPr defaultColWidth="9" defaultRowHeight="17.5"/>
  <cols>
    <col min="1" max="1" width="9.25384615384615" style="29" customWidth="1"/>
    <col min="2" max="2" width="13.2538461538462" style="30" customWidth="1"/>
    <col min="3" max="3" width="50.3846153846154" style="30" customWidth="1"/>
    <col min="4" max="4" width="12.3769230769231" style="30" customWidth="1"/>
    <col min="5" max="5" width="20.5769230769231" style="30" customWidth="1"/>
    <col min="6" max="6" width="11.5384615384615" style="30" customWidth="1"/>
    <col min="7" max="7" width="53.6230769230769" style="30" customWidth="1"/>
    <col min="8" max="8" width="145.576923076923" style="31" customWidth="1"/>
    <col min="9" max="9" width="17.1230769230769" style="31" customWidth="1"/>
    <col min="10" max="10" width="24.8769230769231" style="31" customWidth="1"/>
    <col min="11" max="13" width="26.2538461538462" style="32" customWidth="1"/>
    <col min="14" max="16" width="23.5" style="32" customWidth="1"/>
    <col min="17" max="17" width="15.1230769230769" style="30" customWidth="1"/>
    <col min="18" max="18" width="17.8769230769231" style="30" customWidth="1"/>
    <col min="19" max="19" width="15.1230769230769" style="30" customWidth="1"/>
    <col min="20" max="20" width="23.5" style="30" customWidth="1"/>
    <col min="21" max="21" width="20.7538461538462" style="30" customWidth="1"/>
    <col min="22" max="22" width="23.8769230769231" style="30" customWidth="1"/>
    <col min="23" max="23" width="15.6230769230769" style="30" customWidth="1"/>
    <col min="24" max="24" width="17.6923076923077" style="30" customWidth="1"/>
    <col min="25" max="25" width="20.1923076923077" style="33" customWidth="1"/>
    <col min="26" max="26" width="10.8769230769231" style="34" customWidth="1"/>
    <col min="27" max="27" width="22.6230769230769" style="33" customWidth="1"/>
    <col min="28" max="28" width="9" style="35" hidden="1" customWidth="1"/>
    <col min="29" max="29" width="18.3846153846154" style="35" hidden="1" customWidth="1"/>
    <col min="30" max="16384" width="9" style="36"/>
  </cols>
  <sheetData>
    <row r="1" s="22" customFormat="1" ht="84" customHeight="1" spans="1:29">
      <c r="A1" s="37" t="s">
        <v>953</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18</v>
      </c>
      <c r="Y3" s="10" t="s">
        <v>954</v>
      </c>
      <c r="Z3" s="10" t="s">
        <v>18</v>
      </c>
      <c r="AA3" s="10" t="s">
        <v>19</v>
      </c>
      <c r="AB3" s="63"/>
      <c r="AC3" s="63"/>
    </row>
    <row r="4" s="24" customFormat="1" ht="42" customHeight="1" spans="1:29">
      <c r="A4" s="10"/>
      <c r="B4" s="10"/>
      <c r="C4" s="10"/>
      <c r="D4" s="10"/>
      <c r="E4" s="10"/>
      <c r="F4" s="10"/>
      <c r="G4" s="10"/>
      <c r="H4" s="10"/>
      <c r="I4" s="10"/>
      <c r="J4" s="10"/>
      <c r="K4" s="16"/>
      <c r="L4" s="16" t="s">
        <v>20</v>
      </c>
      <c r="M4" s="16"/>
      <c r="N4" s="16"/>
      <c r="O4" s="16"/>
      <c r="P4" s="16"/>
      <c r="Q4" s="10"/>
      <c r="R4" s="10"/>
      <c r="S4" s="10"/>
      <c r="T4" s="10" t="s">
        <v>21</v>
      </c>
      <c r="U4" s="10" t="s">
        <v>22</v>
      </c>
      <c r="V4" s="10" t="s">
        <v>23</v>
      </c>
      <c r="W4" s="10"/>
      <c r="X4" s="10"/>
      <c r="Y4" s="10"/>
      <c r="Z4" s="10"/>
      <c r="AA4" s="10"/>
      <c r="AB4" s="63"/>
      <c r="AC4" s="63"/>
    </row>
    <row r="5" s="24" customFormat="1" ht="42" customHeight="1" spans="1:29">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31</v>
      </c>
      <c r="N6" s="16" t="s">
        <v>32</v>
      </c>
      <c r="O6" s="55"/>
      <c r="P6" s="55"/>
      <c r="Q6" s="60"/>
      <c r="R6" s="60"/>
      <c r="S6" s="60"/>
      <c r="T6" s="10"/>
      <c r="U6" s="10"/>
      <c r="V6" s="10"/>
      <c r="W6" s="10"/>
      <c r="X6" s="10"/>
      <c r="Y6" s="10"/>
      <c r="Z6" s="10"/>
      <c r="AA6" s="10"/>
      <c r="AB6" s="63"/>
      <c r="AC6" s="63"/>
    </row>
    <row r="7" s="25" customFormat="1" ht="43" customHeight="1" spans="1:29">
      <c r="A7" s="42" t="s">
        <v>33</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67" customFormat="1" ht="43" customHeight="1" spans="1:27">
      <c r="A8" s="42" t="s">
        <v>34</v>
      </c>
      <c r="B8" s="71" t="s">
        <v>35</v>
      </c>
      <c r="C8" s="72"/>
      <c r="D8" s="73"/>
      <c r="E8" s="42"/>
      <c r="F8" s="42"/>
      <c r="G8" s="42"/>
      <c r="H8" s="42">
        <f>SUBTOTAL(9,H31,H57,H60,H63,H9,H69)</f>
        <v>86</v>
      </c>
      <c r="I8" s="79"/>
      <c r="J8" s="79">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84">
        <f t="shared" si="2"/>
        <v>0</v>
      </c>
    </row>
    <row r="9" s="67" customFormat="1" ht="43" customHeight="1" spans="1:27">
      <c r="A9" s="74" t="s">
        <v>36</v>
      </c>
      <c r="B9" s="75"/>
      <c r="C9" s="76"/>
      <c r="D9" s="73"/>
      <c r="E9" s="42"/>
      <c r="F9" s="42"/>
      <c r="G9" s="42"/>
      <c r="H9" s="42">
        <v>21</v>
      </c>
      <c r="I9" s="79"/>
      <c r="J9" s="79">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84"/>
      <c r="Z9" s="84"/>
      <c r="AA9" s="84"/>
    </row>
    <row r="10" s="28" customFormat="1" ht="191" customHeight="1" spans="1:29">
      <c r="A10" s="46">
        <v>1</v>
      </c>
      <c r="B10" s="46" t="s">
        <v>58</v>
      </c>
      <c r="C10" s="46" t="s">
        <v>59</v>
      </c>
      <c r="D10" s="46" t="s">
        <v>35</v>
      </c>
      <c r="E10" s="46" t="s">
        <v>39</v>
      </c>
      <c r="F10" s="46" t="s">
        <v>40</v>
      </c>
      <c r="G10" s="46" t="s">
        <v>955</v>
      </c>
      <c r="H10" s="47" t="s">
        <v>956</v>
      </c>
      <c r="I10" s="46" t="s">
        <v>43</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957</v>
      </c>
      <c r="X10" s="46" t="s">
        <v>958</v>
      </c>
      <c r="Y10" s="46" t="s">
        <v>847</v>
      </c>
      <c r="Z10" s="46" t="s">
        <v>848</v>
      </c>
      <c r="AA10" s="46" t="s">
        <v>47</v>
      </c>
      <c r="AB10" s="28">
        <v>1757</v>
      </c>
      <c r="AC10" s="85">
        <f t="shared" ref="AC10:AC15" si="6">K10/AB10</f>
        <v>0.0769303727945361</v>
      </c>
    </row>
    <row r="11" s="28" customFormat="1" ht="408" customHeight="1" spans="1:29">
      <c r="A11" s="46">
        <v>2</v>
      </c>
      <c r="B11" s="46" t="s">
        <v>64</v>
      </c>
      <c r="C11" s="46" t="s">
        <v>65</v>
      </c>
      <c r="D11" s="46" t="s">
        <v>35</v>
      </c>
      <c r="E11" s="46" t="s">
        <v>39</v>
      </c>
      <c r="F11" s="46" t="s">
        <v>40</v>
      </c>
      <c r="G11" s="46" t="s">
        <v>959</v>
      </c>
      <c r="H11" s="47" t="s">
        <v>960</v>
      </c>
      <c r="I11" s="46" t="s">
        <v>43</v>
      </c>
      <c r="J11" s="46">
        <v>176883.97</v>
      </c>
      <c r="K11" s="59">
        <f t="shared" si="4"/>
        <v>4422.09925</v>
      </c>
      <c r="L11" s="59">
        <f t="shared" si="5"/>
        <v>4422.09925</v>
      </c>
      <c r="M11" s="59">
        <f>J11*0.025</f>
        <v>4422.09925</v>
      </c>
      <c r="N11" s="59"/>
      <c r="O11" s="59"/>
      <c r="P11" s="59"/>
      <c r="Q11" s="46"/>
      <c r="R11" s="46"/>
      <c r="S11" s="46"/>
      <c r="T11" s="46"/>
      <c r="U11" s="46"/>
      <c r="V11" s="46"/>
      <c r="W11" s="46" t="s">
        <v>957</v>
      </c>
      <c r="X11" s="46" t="s">
        <v>958</v>
      </c>
      <c r="Y11" s="46" t="s">
        <v>847</v>
      </c>
      <c r="Z11" s="46" t="s">
        <v>848</v>
      </c>
      <c r="AA11" s="46" t="s">
        <v>47</v>
      </c>
      <c r="AB11" s="28">
        <v>18647</v>
      </c>
      <c r="AC11" s="85">
        <f t="shared" si="6"/>
        <v>0.237148026492197</v>
      </c>
    </row>
    <row r="12" s="28" customFormat="1" ht="377" customHeight="1" spans="1:29">
      <c r="A12" s="46">
        <v>3</v>
      </c>
      <c r="B12" s="46" t="s">
        <v>182</v>
      </c>
      <c r="C12" s="46" t="s">
        <v>70</v>
      </c>
      <c r="D12" s="46" t="s">
        <v>35</v>
      </c>
      <c r="E12" s="46" t="s">
        <v>71</v>
      </c>
      <c r="F12" s="46" t="s">
        <v>40</v>
      </c>
      <c r="G12" s="46" t="s">
        <v>961</v>
      </c>
      <c r="H12" s="47" t="s">
        <v>962</v>
      </c>
      <c r="I12" s="46" t="s">
        <v>43</v>
      </c>
      <c r="J12" s="46">
        <v>173555.11</v>
      </c>
      <c r="K12" s="59">
        <f t="shared" si="4"/>
        <v>694.22044</v>
      </c>
      <c r="L12" s="59">
        <f t="shared" si="5"/>
        <v>694.22044</v>
      </c>
      <c r="M12" s="59"/>
      <c r="N12" s="59">
        <f>J12*0.004</f>
        <v>694.22044</v>
      </c>
      <c r="O12" s="59"/>
      <c r="P12" s="59"/>
      <c r="Q12" s="46"/>
      <c r="R12" s="46"/>
      <c r="S12" s="46"/>
      <c r="T12" s="46"/>
      <c r="U12" s="46"/>
      <c r="V12" s="46"/>
      <c r="W12" s="46" t="s">
        <v>957</v>
      </c>
      <c r="X12" s="46" t="s">
        <v>958</v>
      </c>
      <c r="Y12" s="46" t="s">
        <v>847</v>
      </c>
      <c r="Z12" s="46" t="s">
        <v>848</v>
      </c>
      <c r="AA12" s="46" t="s">
        <v>47</v>
      </c>
      <c r="AB12" s="28">
        <v>16785</v>
      </c>
      <c r="AC12" s="85">
        <f t="shared" si="6"/>
        <v>0.0413595734286565</v>
      </c>
    </row>
    <row r="13" s="28" customFormat="1" ht="336" customHeight="1" spans="1:29">
      <c r="A13" s="46">
        <v>4</v>
      </c>
      <c r="B13" s="46" t="s">
        <v>83</v>
      </c>
      <c r="C13" s="46" t="s">
        <v>89</v>
      </c>
      <c r="D13" s="46" t="s">
        <v>35</v>
      </c>
      <c r="E13" s="46" t="s">
        <v>39</v>
      </c>
      <c r="F13" s="46" t="s">
        <v>40</v>
      </c>
      <c r="G13" s="46" t="s">
        <v>90</v>
      </c>
      <c r="H13" s="47" t="s">
        <v>963</v>
      </c>
      <c r="I13" s="46" t="s">
        <v>43</v>
      </c>
      <c r="J13" s="46">
        <v>21199.1</v>
      </c>
      <c r="K13" s="59">
        <f t="shared" si="4"/>
        <v>63.5973</v>
      </c>
      <c r="L13" s="59">
        <f t="shared" si="5"/>
        <v>63.5973</v>
      </c>
      <c r="M13" s="59"/>
      <c r="N13" s="59">
        <f>J13*0.003</f>
        <v>63.5973</v>
      </c>
      <c r="O13" s="59"/>
      <c r="P13" s="59"/>
      <c r="Q13" s="46"/>
      <c r="R13" s="46"/>
      <c r="S13" s="46"/>
      <c r="T13" s="46"/>
      <c r="U13" s="46"/>
      <c r="V13" s="46"/>
      <c r="W13" s="46" t="s">
        <v>957</v>
      </c>
      <c r="X13" s="46" t="s">
        <v>958</v>
      </c>
      <c r="Y13" s="46" t="s">
        <v>855</v>
      </c>
      <c r="Z13" s="46" t="s">
        <v>856</v>
      </c>
      <c r="AA13" s="46" t="s">
        <v>82</v>
      </c>
      <c r="AB13" s="28">
        <v>4282</v>
      </c>
      <c r="AC13" s="85">
        <f t="shared" si="6"/>
        <v>0.0148522419430173</v>
      </c>
    </row>
    <row r="14" s="27" customFormat="1" ht="236" customHeight="1" spans="1:29">
      <c r="A14" s="46">
        <v>5</v>
      </c>
      <c r="B14" s="46" t="s">
        <v>88</v>
      </c>
      <c r="C14" s="46" t="s">
        <v>94</v>
      </c>
      <c r="D14" s="46" t="s">
        <v>35</v>
      </c>
      <c r="E14" s="46" t="s">
        <v>95</v>
      </c>
      <c r="F14" s="46" t="s">
        <v>40</v>
      </c>
      <c r="G14" s="46" t="s">
        <v>96</v>
      </c>
      <c r="H14" s="47" t="s">
        <v>964</v>
      </c>
      <c r="I14" s="46" t="s">
        <v>43</v>
      </c>
      <c r="J14" s="46">
        <v>4025.54</v>
      </c>
      <c r="K14" s="59">
        <f t="shared" si="4"/>
        <v>40.2554</v>
      </c>
      <c r="L14" s="59">
        <f t="shared" si="5"/>
        <v>40.2554</v>
      </c>
      <c r="M14" s="59"/>
      <c r="N14" s="59">
        <f>J14*0.01</f>
        <v>40.2554</v>
      </c>
      <c r="O14" s="59"/>
      <c r="P14" s="59"/>
      <c r="Q14" s="46"/>
      <c r="R14" s="46"/>
      <c r="S14" s="46"/>
      <c r="T14" s="46"/>
      <c r="U14" s="46"/>
      <c r="V14" s="46"/>
      <c r="W14" s="46" t="s">
        <v>957</v>
      </c>
      <c r="X14" s="46" t="s">
        <v>958</v>
      </c>
      <c r="Y14" s="46" t="s">
        <v>863</v>
      </c>
      <c r="Z14" s="46" t="s">
        <v>864</v>
      </c>
      <c r="AA14" s="46" t="s">
        <v>82</v>
      </c>
      <c r="AB14" s="28">
        <v>403</v>
      </c>
      <c r="AC14" s="85">
        <f t="shared" si="6"/>
        <v>0.0998893300248139</v>
      </c>
    </row>
    <row r="15" s="28" customFormat="1" ht="248.5" spans="1:29">
      <c r="A15" s="46">
        <v>6</v>
      </c>
      <c r="B15" s="46" t="s">
        <v>93</v>
      </c>
      <c r="C15" s="46" t="s">
        <v>100</v>
      </c>
      <c r="D15" s="46" t="s">
        <v>35</v>
      </c>
      <c r="E15" s="46" t="s">
        <v>39</v>
      </c>
      <c r="F15" s="46" t="s">
        <v>40</v>
      </c>
      <c r="G15" s="46" t="s">
        <v>101</v>
      </c>
      <c r="H15" s="47" t="s">
        <v>965</v>
      </c>
      <c r="I15" s="46" t="s">
        <v>43</v>
      </c>
      <c r="J15" s="46">
        <v>1891.98</v>
      </c>
      <c r="K15" s="59">
        <f t="shared" si="4"/>
        <v>85.1391</v>
      </c>
      <c r="L15" s="59">
        <f t="shared" si="5"/>
        <v>85.1391</v>
      </c>
      <c r="M15" s="59"/>
      <c r="N15" s="59">
        <f>J15*0.045</f>
        <v>85.1391</v>
      </c>
      <c r="O15" s="59"/>
      <c r="P15" s="59"/>
      <c r="Q15" s="46"/>
      <c r="R15" s="46"/>
      <c r="S15" s="46"/>
      <c r="T15" s="46"/>
      <c r="U15" s="46"/>
      <c r="V15" s="46"/>
      <c r="W15" s="46" t="s">
        <v>957</v>
      </c>
      <c r="X15" s="46" t="s">
        <v>958</v>
      </c>
      <c r="Y15" s="46" t="s">
        <v>369</v>
      </c>
      <c r="Z15" s="46" t="s">
        <v>370</v>
      </c>
      <c r="AA15" s="46" t="s">
        <v>104</v>
      </c>
      <c r="AB15" s="28">
        <v>2772</v>
      </c>
      <c r="AC15" s="85">
        <f t="shared" si="6"/>
        <v>0.030713961038961</v>
      </c>
    </row>
    <row r="16" s="28" customFormat="1" ht="177.5" spans="1:29">
      <c r="A16" s="46">
        <v>7</v>
      </c>
      <c r="B16" s="46" t="s">
        <v>105</v>
      </c>
      <c r="C16" s="46" t="s">
        <v>106</v>
      </c>
      <c r="D16" s="46" t="s">
        <v>35</v>
      </c>
      <c r="E16" s="46" t="s">
        <v>39</v>
      </c>
      <c r="F16" s="46" t="s">
        <v>40</v>
      </c>
      <c r="G16" s="46" t="s">
        <v>107</v>
      </c>
      <c r="H16" s="47" t="s">
        <v>966</v>
      </c>
      <c r="I16" s="46" t="s">
        <v>43</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957</v>
      </c>
      <c r="X16" s="46" t="s">
        <v>958</v>
      </c>
      <c r="Y16" s="46" t="s">
        <v>369</v>
      </c>
      <c r="Z16" s="46" t="s">
        <v>370</v>
      </c>
      <c r="AA16" s="86" t="s">
        <v>104</v>
      </c>
      <c r="AB16" s="28">
        <v>1137</v>
      </c>
      <c r="AC16" s="85">
        <f t="shared" ref="AC16:AC30" si="9">K16/AB16</f>
        <v>0.0188614775725594</v>
      </c>
    </row>
    <row r="17" s="28" customFormat="1" ht="364" customHeight="1" spans="1:29">
      <c r="A17" s="46">
        <v>8</v>
      </c>
      <c r="B17" s="46" t="s">
        <v>110</v>
      </c>
      <c r="C17" s="46" t="s">
        <v>111</v>
      </c>
      <c r="D17" s="46" t="s">
        <v>35</v>
      </c>
      <c r="E17" s="46" t="s">
        <v>39</v>
      </c>
      <c r="F17" s="46" t="s">
        <v>40</v>
      </c>
      <c r="G17" s="46" t="s">
        <v>967</v>
      </c>
      <c r="H17" s="47" t="s">
        <v>968</v>
      </c>
      <c r="I17" s="46" t="s">
        <v>43</v>
      </c>
      <c r="J17" s="46">
        <v>5856.12</v>
      </c>
      <c r="K17" s="59">
        <f t="shared" si="7"/>
        <v>585.612</v>
      </c>
      <c r="L17" s="59">
        <f t="shared" si="8"/>
        <v>585.612</v>
      </c>
      <c r="M17" s="59">
        <f>J17*0.1</f>
        <v>585.612</v>
      </c>
      <c r="N17" s="59"/>
      <c r="O17" s="59"/>
      <c r="P17" s="59"/>
      <c r="Q17" s="46"/>
      <c r="R17" s="46"/>
      <c r="S17" s="46"/>
      <c r="T17" s="46"/>
      <c r="U17" s="46"/>
      <c r="V17" s="46"/>
      <c r="W17" s="46" t="s">
        <v>957</v>
      </c>
      <c r="X17" s="46" t="s">
        <v>958</v>
      </c>
      <c r="Y17" s="46" t="s">
        <v>369</v>
      </c>
      <c r="Z17" s="46" t="s">
        <v>370</v>
      </c>
      <c r="AA17" s="86" t="s">
        <v>104</v>
      </c>
      <c r="AB17" s="28">
        <v>13744</v>
      </c>
      <c r="AC17" s="85">
        <f t="shared" si="9"/>
        <v>0.0426085564610012</v>
      </c>
    </row>
    <row r="18" s="28" customFormat="1" ht="392" customHeight="1" spans="1:29">
      <c r="A18" s="46">
        <v>9</v>
      </c>
      <c r="B18" s="46" t="s">
        <v>115</v>
      </c>
      <c r="C18" s="46" t="s">
        <v>116</v>
      </c>
      <c r="D18" s="46" t="s">
        <v>35</v>
      </c>
      <c r="E18" s="46" t="s">
        <v>71</v>
      </c>
      <c r="F18" s="46" t="s">
        <v>40</v>
      </c>
      <c r="G18" s="46" t="s">
        <v>117</v>
      </c>
      <c r="H18" s="47" t="s">
        <v>969</v>
      </c>
      <c r="I18" s="46" t="s">
        <v>119</v>
      </c>
      <c r="J18" s="46">
        <v>9895</v>
      </c>
      <c r="K18" s="59">
        <f t="shared" si="7"/>
        <v>3958</v>
      </c>
      <c r="L18" s="59">
        <f t="shared" si="8"/>
        <v>3958</v>
      </c>
      <c r="M18" s="59"/>
      <c r="N18" s="59">
        <f>J18*0.4</f>
        <v>3958</v>
      </c>
      <c r="O18" s="59"/>
      <c r="P18" s="59"/>
      <c r="Q18" s="46"/>
      <c r="R18" s="46"/>
      <c r="S18" s="46"/>
      <c r="T18" s="46"/>
      <c r="U18" s="46"/>
      <c r="V18" s="46"/>
      <c r="W18" s="46" t="s">
        <v>957</v>
      </c>
      <c r="X18" s="46" t="s">
        <v>958</v>
      </c>
      <c r="Y18" s="46" t="s">
        <v>121</v>
      </c>
      <c r="Z18" s="87" t="s">
        <v>122</v>
      </c>
      <c r="AA18" s="86" t="s">
        <v>123</v>
      </c>
      <c r="AB18" s="28">
        <v>5250</v>
      </c>
      <c r="AC18" s="85">
        <f t="shared" si="9"/>
        <v>0.753904761904762</v>
      </c>
    </row>
    <row r="19" s="28" customFormat="1" ht="394" customHeight="1" spans="1:29">
      <c r="A19" s="46">
        <v>10</v>
      </c>
      <c r="B19" s="46" t="s">
        <v>124</v>
      </c>
      <c r="C19" s="46" t="s">
        <v>125</v>
      </c>
      <c r="D19" s="46" t="s">
        <v>35</v>
      </c>
      <c r="E19" s="46" t="s">
        <v>71</v>
      </c>
      <c r="F19" s="46" t="s">
        <v>40</v>
      </c>
      <c r="G19" s="46" t="s">
        <v>126</v>
      </c>
      <c r="H19" s="47" t="s">
        <v>970</v>
      </c>
      <c r="I19" s="46" t="s">
        <v>128</v>
      </c>
      <c r="J19" s="46">
        <v>40067</v>
      </c>
      <c r="K19" s="59">
        <f t="shared" si="7"/>
        <v>1602.68</v>
      </c>
      <c r="L19" s="59">
        <f t="shared" si="8"/>
        <v>1602.68</v>
      </c>
      <c r="M19" s="59"/>
      <c r="N19" s="59">
        <f>J19*0.04</f>
        <v>1602.68</v>
      </c>
      <c r="O19" s="59"/>
      <c r="P19" s="59"/>
      <c r="Q19" s="46"/>
      <c r="R19" s="46"/>
      <c r="S19" s="46"/>
      <c r="T19" s="46"/>
      <c r="U19" s="46"/>
      <c r="V19" s="46"/>
      <c r="W19" s="46" t="s">
        <v>957</v>
      </c>
      <c r="X19" s="46" t="s">
        <v>958</v>
      </c>
      <c r="Y19" s="46" t="s">
        <v>121</v>
      </c>
      <c r="Z19" s="87" t="s">
        <v>122</v>
      </c>
      <c r="AA19" s="86" t="s">
        <v>123</v>
      </c>
      <c r="AB19" s="28">
        <v>6345</v>
      </c>
      <c r="AC19" s="85">
        <f t="shared" si="9"/>
        <v>0.252589440504334</v>
      </c>
    </row>
    <row r="20" s="28" customFormat="1" ht="409" customHeight="1" spans="1:29">
      <c r="A20" s="46">
        <v>11</v>
      </c>
      <c r="B20" s="46" t="s">
        <v>130</v>
      </c>
      <c r="C20" s="46" t="s">
        <v>131</v>
      </c>
      <c r="D20" s="46" t="s">
        <v>35</v>
      </c>
      <c r="E20" s="46" t="s">
        <v>71</v>
      </c>
      <c r="F20" s="46" t="s">
        <v>40</v>
      </c>
      <c r="G20" s="46" t="s">
        <v>132</v>
      </c>
      <c r="H20" s="47" t="s">
        <v>971</v>
      </c>
      <c r="I20" s="46" t="s">
        <v>119</v>
      </c>
      <c r="J20" s="46">
        <v>20247</v>
      </c>
      <c r="K20" s="59">
        <f t="shared" si="7"/>
        <v>6074.1</v>
      </c>
      <c r="L20" s="59">
        <f t="shared" si="8"/>
        <v>6074.1</v>
      </c>
      <c r="M20" s="59">
        <f>J20*0.3</f>
        <v>6074.1</v>
      </c>
      <c r="N20" s="59"/>
      <c r="O20" s="59"/>
      <c r="P20" s="59"/>
      <c r="Q20" s="46"/>
      <c r="R20" s="46"/>
      <c r="S20" s="46"/>
      <c r="T20" s="46"/>
      <c r="U20" s="46"/>
      <c r="V20" s="46"/>
      <c r="W20" s="46" t="s">
        <v>957</v>
      </c>
      <c r="X20" s="46" t="s">
        <v>958</v>
      </c>
      <c r="Y20" s="46" t="s">
        <v>121</v>
      </c>
      <c r="Z20" s="87" t="s">
        <v>122</v>
      </c>
      <c r="AA20" s="86" t="s">
        <v>123</v>
      </c>
      <c r="AB20" s="28">
        <v>12014</v>
      </c>
      <c r="AC20" s="85">
        <f t="shared" si="9"/>
        <v>0.505585150657566</v>
      </c>
    </row>
    <row r="21" s="28" customFormat="1" ht="409" customHeight="1" spans="1:29">
      <c r="A21" s="46">
        <v>12</v>
      </c>
      <c r="B21" s="46" t="s">
        <v>135</v>
      </c>
      <c r="C21" s="46" t="s">
        <v>136</v>
      </c>
      <c r="D21" s="46" t="s">
        <v>35</v>
      </c>
      <c r="E21" s="46" t="s">
        <v>71</v>
      </c>
      <c r="F21" s="46" t="s">
        <v>40</v>
      </c>
      <c r="G21" s="46" t="s">
        <v>132</v>
      </c>
      <c r="H21" s="47" t="s">
        <v>972</v>
      </c>
      <c r="I21" s="46" t="s">
        <v>128</v>
      </c>
      <c r="J21" s="46">
        <v>127088</v>
      </c>
      <c r="K21" s="59">
        <f t="shared" si="7"/>
        <v>3812.64</v>
      </c>
      <c r="L21" s="59">
        <f t="shared" si="8"/>
        <v>3812.64</v>
      </c>
      <c r="M21" s="59">
        <f>J21*0.03</f>
        <v>3812.64</v>
      </c>
      <c r="N21" s="59"/>
      <c r="O21" s="59"/>
      <c r="P21" s="59"/>
      <c r="Q21" s="46"/>
      <c r="R21" s="46"/>
      <c r="S21" s="46"/>
      <c r="T21" s="46"/>
      <c r="U21" s="46"/>
      <c r="V21" s="46"/>
      <c r="W21" s="46" t="s">
        <v>957</v>
      </c>
      <c r="X21" s="46" t="s">
        <v>958</v>
      </c>
      <c r="Y21" s="46" t="s">
        <v>121</v>
      </c>
      <c r="Z21" s="87" t="s">
        <v>122</v>
      </c>
      <c r="AA21" s="86" t="s">
        <v>123</v>
      </c>
      <c r="AB21" s="28">
        <v>18404</v>
      </c>
      <c r="AC21" s="85">
        <f t="shared" si="9"/>
        <v>0.207163660073897</v>
      </c>
    </row>
    <row r="22" s="28" customFormat="1" ht="331" customHeight="1" spans="1:29">
      <c r="A22" s="46">
        <v>13</v>
      </c>
      <c r="B22" s="46" t="s">
        <v>139</v>
      </c>
      <c r="C22" s="46" t="s">
        <v>140</v>
      </c>
      <c r="D22" s="46" t="s">
        <v>35</v>
      </c>
      <c r="E22" s="46" t="s">
        <v>71</v>
      </c>
      <c r="F22" s="46" t="s">
        <v>40</v>
      </c>
      <c r="G22" s="46" t="s">
        <v>141</v>
      </c>
      <c r="H22" s="47" t="s">
        <v>973</v>
      </c>
      <c r="I22" s="46" t="s">
        <v>143</v>
      </c>
      <c r="J22" s="46">
        <v>242830</v>
      </c>
      <c r="K22" s="59">
        <f t="shared" si="7"/>
        <v>242.83</v>
      </c>
      <c r="L22" s="59">
        <f t="shared" si="8"/>
        <v>242.83</v>
      </c>
      <c r="M22" s="59"/>
      <c r="N22" s="59">
        <f t="shared" ref="N22:N25" si="10">J22*0.001</f>
        <v>242.83</v>
      </c>
      <c r="O22" s="59"/>
      <c r="P22" s="59"/>
      <c r="Q22" s="46"/>
      <c r="R22" s="46"/>
      <c r="S22" s="46"/>
      <c r="T22" s="46"/>
      <c r="U22" s="46"/>
      <c r="V22" s="46"/>
      <c r="W22" s="46" t="s">
        <v>957</v>
      </c>
      <c r="X22" s="46" t="s">
        <v>958</v>
      </c>
      <c r="Y22" s="46" t="s">
        <v>121</v>
      </c>
      <c r="Z22" s="87" t="s">
        <v>122</v>
      </c>
      <c r="AA22" s="86" t="s">
        <v>104</v>
      </c>
      <c r="AB22" s="28">
        <v>4231</v>
      </c>
      <c r="AC22" s="85">
        <f t="shared" si="9"/>
        <v>0.0573930512881116</v>
      </c>
    </row>
    <row r="23" s="28" customFormat="1" ht="213" spans="1:29">
      <c r="A23" s="46">
        <v>14</v>
      </c>
      <c r="B23" s="46" t="s">
        <v>145</v>
      </c>
      <c r="C23" s="46" t="s">
        <v>146</v>
      </c>
      <c r="D23" s="46" t="s">
        <v>35</v>
      </c>
      <c r="E23" s="46" t="s">
        <v>71</v>
      </c>
      <c r="F23" s="46" t="s">
        <v>40</v>
      </c>
      <c r="G23" s="46" t="s">
        <v>147</v>
      </c>
      <c r="H23" s="47" t="s">
        <v>974</v>
      </c>
      <c r="I23" s="46" t="s">
        <v>143</v>
      </c>
      <c r="J23" s="46">
        <v>53479</v>
      </c>
      <c r="K23" s="59">
        <f t="shared" si="7"/>
        <v>53.479</v>
      </c>
      <c r="L23" s="59">
        <f t="shared" si="8"/>
        <v>53.479</v>
      </c>
      <c r="M23" s="59"/>
      <c r="N23" s="59">
        <f t="shared" si="10"/>
        <v>53.479</v>
      </c>
      <c r="O23" s="59"/>
      <c r="P23" s="59"/>
      <c r="Q23" s="46"/>
      <c r="R23" s="46"/>
      <c r="S23" s="46"/>
      <c r="T23" s="46"/>
      <c r="U23" s="46"/>
      <c r="V23" s="46"/>
      <c r="W23" s="46" t="s">
        <v>957</v>
      </c>
      <c r="X23" s="46" t="s">
        <v>958</v>
      </c>
      <c r="Y23" s="46" t="s">
        <v>121</v>
      </c>
      <c r="Z23" s="87" t="s">
        <v>122</v>
      </c>
      <c r="AA23" s="86" t="s">
        <v>104</v>
      </c>
      <c r="AB23" s="28">
        <v>1007</v>
      </c>
      <c r="AC23" s="85">
        <f t="shared" si="9"/>
        <v>0.0531072492552135</v>
      </c>
    </row>
    <row r="24" s="28" customFormat="1" ht="248.5" spans="1:29">
      <c r="A24" s="46">
        <v>15</v>
      </c>
      <c r="B24" s="46" t="s">
        <v>150</v>
      </c>
      <c r="C24" s="46" t="s">
        <v>151</v>
      </c>
      <c r="D24" s="46" t="s">
        <v>35</v>
      </c>
      <c r="E24" s="46" t="s">
        <v>71</v>
      </c>
      <c r="F24" s="46" t="s">
        <v>40</v>
      </c>
      <c r="G24" s="46" t="s">
        <v>152</v>
      </c>
      <c r="H24" s="47" t="s">
        <v>975</v>
      </c>
      <c r="I24" s="46" t="s">
        <v>143</v>
      </c>
      <c r="J24" s="46">
        <v>47848</v>
      </c>
      <c r="K24" s="59">
        <f t="shared" si="7"/>
        <v>47.848</v>
      </c>
      <c r="L24" s="59">
        <f t="shared" si="8"/>
        <v>47.848</v>
      </c>
      <c r="M24" s="59"/>
      <c r="N24" s="59">
        <f t="shared" si="10"/>
        <v>47.848</v>
      </c>
      <c r="O24" s="59"/>
      <c r="P24" s="59"/>
      <c r="Q24" s="46"/>
      <c r="R24" s="46"/>
      <c r="S24" s="46"/>
      <c r="T24" s="46"/>
      <c r="U24" s="46"/>
      <c r="V24" s="46"/>
      <c r="W24" s="46" t="s">
        <v>957</v>
      </c>
      <c r="X24" s="46" t="s">
        <v>958</v>
      </c>
      <c r="Y24" s="46" t="s">
        <v>121</v>
      </c>
      <c r="Z24" s="87" t="s">
        <v>122</v>
      </c>
      <c r="AA24" s="86" t="s">
        <v>104</v>
      </c>
      <c r="AB24" s="28">
        <v>973</v>
      </c>
      <c r="AC24" s="85">
        <f t="shared" si="9"/>
        <v>0.0491757451181912</v>
      </c>
    </row>
    <row r="25" s="28" customFormat="1" ht="248.5" spans="1:29">
      <c r="A25" s="46">
        <v>16</v>
      </c>
      <c r="B25" s="46" t="s">
        <v>155</v>
      </c>
      <c r="C25" s="46" t="s">
        <v>156</v>
      </c>
      <c r="D25" s="46" t="s">
        <v>35</v>
      </c>
      <c r="E25" s="46" t="s">
        <v>71</v>
      </c>
      <c r="F25" s="46" t="s">
        <v>40</v>
      </c>
      <c r="G25" s="46" t="s">
        <v>157</v>
      </c>
      <c r="H25" s="47" t="s">
        <v>976</v>
      </c>
      <c r="I25" s="46" t="s">
        <v>143</v>
      </c>
      <c r="J25" s="46">
        <v>163792</v>
      </c>
      <c r="K25" s="59">
        <f t="shared" si="7"/>
        <v>163.792</v>
      </c>
      <c r="L25" s="59">
        <f t="shared" si="8"/>
        <v>163.792</v>
      </c>
      <c r="M25" s="59"/>
      <c r="N25" s="59">
        <f t="shared" si="10"/>
        <v>163.792</v>
      </c>
      <c r="O25" s="59"/>
      <c r="P25" s="59"/>
      <c r="Q25" s="46"/>
      <c r="R25" s="46"/>
      <c r="S25" s="46"/>
      <c r="T25" s="46"/>
      <c r="U25" s="46"/>
      <c r="V25" s="46"/>
      <c r="W25" s="46" t="s">
        <v>957</v>
      </c>
      <c r="X25" s="46" t="s">
        <v>958</v>
      </c>
      <c r="Y25" s="46" t="s">
        <v>121</v>
      </c>
      <c r="Z25" s="87" t="s">
        <v>122</v>
      </c>
      <c r="AA25" s="86" t="s">
        <v>104</v>
      </c>
      <c r="AB25" s="28">
        <v>1389</v>
      </c>
      <c r="AC25" s="85">
        <f t="shared" si="9"/>
        <v>0.117920806335493</v>
      </c>
    </row>
    <row r="26" s="28" customFormat="1" ht="238" customHeight="1" spans="1:29">
      <c r="A26" s="46">
        <v>17</v>
      </c>
      <c r="B26" s="46" t="s">
        <v>160</v>
      </c>
      <c r="C26" s="46" t="s">
        <v>161</v>
      </c>
      <c r="D26" s="46" t="s">
        <v>35</v>
      </c>
      <c r="E26" s="46" t="s">
        <v>71</v>
      </c>
      <c r="F26" s="46" t="s">
        <v>40</v>
      </c>
      <c r="G26" s="46" t="s">
        <v>162</v>
      </c>
      <c r="H26" s="47" t="s">
        <v>977</v>
      </c>
      <c r="I26" s="46" t="s">
        <v>164</v>
      </c>
      <c r="J26" s="46">
        <v>281</v>
      </c>
      <c r="K26" s="59">
        <f t="shared" si="7"/>
        <v>28.1</v>
      </c>
      <c r="L26" s="59">
        <f t="shared" si="8"/>
        <v>28.1</v>
      </c>
      <c r="M26" s="59"/>
      <c r="N26" s="59">
        <f t="shared" ref="N26:N28" si="11">J26*0.1</f>
        <v>28.1</v>
      </c>
      <c r="O26" s="59"/>
      <c r="P26" s="59"/>
      <c r="Q26" s="46"/>
      <c r="R26" s="46"/>
      <c r="S26" s="46"/>
      <c r="T26" s="46"/>
      <c r="U26" s="46"/>
      <c r="V26" s="46"/>
      <c r="W26" s="46" t="s">
        <v>957</v>
      </c>
      <c r="X26" s="46" t="s">
        <v>958</v>
      </c>
      <c r="Y26" s="46" t="s">
        <v>121</v>
      </c>
      <c r="Z26" s="87" t="s">
        <v>122</v>
      </c>
      <c r="AA26" s="86" t="s">
        <v>123</v>
      </c>
      <c r="AB26" s="28">
        <v>286</v>
      </c>
      <c r="AC26" s="85">
        <f t="shared" si="9"/>
        <v>0.0982517482517483</v>
      </c>
    </row>
    <row r="27" s="28" customFormat="1" ht="272" customHeight="1" spans="1:29">
      <c r="A27" s="46">
        <v>18</v>
      </c>
      <c r="B27" s="46" t="s">
        <v>166</v>
      </c>
      <c r="C27" s="46" t="s">
        <v>167</v>
      </c>
      <c r="D27" s="46" t="s">
        <v>35</v>
      </c>
      <c r="E27" s="46" t="s">
        <v>71</v>
      </c>
      <c r="F27" s="46" t="s">
        <v>40</v>
      </c>
      <c r="G27" s="46" t="s">
        <v>168</v>
      </c>
      <c r="H27" s="47" t="s">
        <v>978</v>
      </c>
      <c r="I27" s="46" t="s">
        <v>164</v>
      </c>
      <c r="J27" s="46">
        <v>317</v>
      </c>
      <c r="K27" s="59">
        <f t="shared" si="7"/>
        <v>31.7</v>
      </c>
      <c r="L27" s="59">
        <f t="shared" si="8"/>
        <v>31.7</v>
      </c>
      <c r="M27" s="59"/>
      <c r="N27" s="59">
        <f t="shared" si="11"/>
        <v>31.7</v>
      </c>
      <c r="O27" s="59"/>
      <c r="P27" s="59"/>
      <c r="Q27" s="46"/>
      <c r="R27" s="46"/>
      <c r="S27" s="46"/>
      <c r="T27" s="46"/>
      <c r="U27" s="46"/>
      <c r="V27" s="46"/>
      <c r="W27" s="46" t="s">
        <v>957</v>
      </c>
      <c r="X27" s="46" t="s">
        <v>958</v>
      </c>
      <c r="Y27" s="46" t="s">
        <v>121</v>
      </c>
      <c r="Z27" s="87" t="s">
        <v>122</v>
      </c>
      <c r="AA27" s="86" t="s">
        <v>123</v>
      </c>
      <c r="AB27" s="28">
        <v>143</v>
      </c>
      <c r="AC27" s="85">
        <f t="shared" si="9"/>
        <v>0.221678321678322</v>
      </c>
    </row>
    <row r="28" s="28" customFormat="1" ht="262" customHeight="1" spans="1:29">
      <c r="A28" s="46">
        <v>19</v>
      </c>
      <c r="B28" s="46" t="s">
        <v>171</v>
      </c>
      <c r="C28" s="46" t="s">
        <v>172</v>
      </c>
      <c r="D28" s="46" t="s">
        <v>35</v>
      </c>
      <c r="E28" s="46" t="s">
        <v>71</v>
      </c>
      <c r="F28" s="46" t="s">
        <v>40</v>
      </c>
      <c r="G28" s="46" t="s">
        <v>173</v>
      </c>
      <c r="H28" s="47" t="s">
        <v>979</v>
      </c>
      <c r="I28" s="46" t="s">
        <v>164</v>
      </c>
      <c r="J28" s="46">
        <v>2826</v>
      </c>
      <c r="K28" s="59">
        <f t="shared" si="7"/>
        <v>282.6</v>
      </c>
      <c r="L28" s="59">
        <f t="shared" si="8"/>
        <v>282.6</v>
      </c>
      <c r="M28" s="59"/>
      <c r="N28" s="59">
        <f t="shared" si="11"/>
        <v>282.6</v>
      </c>
      <c r="O28" s="59"/>
      <c r="P28" s="59"/>
      <c r="Q28" s="46"/>
      <c r="R28" s="46"/>
      <c r="S28" s="46"/>
      <c r="T28" s="46"/>
      <c r="U28" s="46"/>
      <c r="V28" s="46"/>
      <c r="W28" s="46" t="s">
        <v>957</v>
      </c>
      <c r="X28" s="46" t="s">
        <v>958</v>
      </c>
      <c r="Y28" s="46" t="s">
        <v>121</v>
      </c>
      <c r="Z28" s="87" t="s">
        <v>122</v>
      </c>
      <c r="AA28" s="86" t="s">
        <v>123</v>
      </c>
      <c r="AB28" s="28">
        <v>2359</v>
      </c>
      <c r="AC28" s="85">
        <f t="shared" si="9"/>
        <v>0.119796523950827</v>
      </c>
    </row>
    <row r="29" s="28" customFormat="1" ht="177.5" spans="1:29">
      <c r="A29" s="46">
        <v>20</v>
      </c>
      <c r="B29" s="46"/>
      <c r="C29" s="46" t="s">
        <v>980</v>
      </c>
      <c r="D29" s="46" t="s">
        <v>35</v>
      </c>
      <c r="E29" s="46" t="s">
        <v>469</v>
      </c>
      <c r="F29" s="46" t="s">
        <v>40</v>
      </c>
      <c r="G29" s="46" t="s">
        <v>981</v>
      </c>
      <c r="H29" s="47" t="s">
        <v>982</v>
      </c>
      <c r="I29" s="46" t="s">
        <v>983</v>
      </c>
      <c r="J29" s="46">
        <v>1644</v>
      </c>
      <c r="K29" s="59">
        <f t="shared" si="7"/>
        <v>65.76</v>
      </c>
      <c r="L29" s="59">
        <f t="shared" si="8"/>
        <v>65.76</v>
      </c>
      <c r="M29" s="59"/>
      <c r="N29" s="59">
        <f>J29*0.04</f>
        <v>65.76</v>
      </c>
      <c r="O29" s="59"/>
      <c r="P29" s="59"/>
      <c r="Q29" s="46"/>
      <c r="R29" s="46"/>
      <c r="S29" s="46"/>
      <c r="T29" s="46"/>
      <c r="U29" s="46"/>
      <c r="V29" s="46"/>
      <c r="W29" s="46" t="s">
        <v>957</v>
      </c>
      <c r="X29" s="46" t="s">
        <v>958</v>
      </c>
      <c r="Y29" s="46" t="s">
        <v>847</v>
      </c>
      <c r="Z29" s="87" t="s">
        <v>848</v>
      </c>
      <c r="AA29" s="86" t="s">
        <v>82</v>
      </c>
      <c r="AC29" s="85"/>
    </row>
    <row r="30" s="27" customFormat="1" ht="71" spans="1:29">
      <c r="A30" s="46">
        <v>21</v>
      </c>
      <c r="B30" s="46" t="s">
        <v>190</v>
      </c>
      <c r="C30" s="46" t="s">
        <v>183</v>
      </c>
      <c r="D30" s="46" t="s">
        <v>35</v>
      </c>
      <c r="E30" s="46" t="s">
        <v>184</v>
      </c>
      <c r="F30" s="77" t="s">
        <v>40</v>
      </c>
      <c r="G30" s="77" t="s">
        <v>984</v>
      </c>
      <c r="H30" s="78" t="s">
        <v>186</v>
      </c>
      <c r="I30" s="77" t="s">
        <v>187</v>
      </c>
      <c r="J30" s="77">
        <f>32673+10185</f>
        <v>42858</v>
      </c>
      <c r="K30" s="59">
        <f t="shared" si="7"/>
        <v>1000</v>
      </c>
      <c r="L30" s="59">
        <f t="shared" si="8"/>
        <v>1000</v>
      </c>
      <c r="M30" s="80">
        <v>1000</v>
      </c>
      <c r="N30" s="80"/>
      <c r="O30" s="80"/>
      <c r="P30" s="80"/>
      <c r="Q30" s="77"/>
      <c r="R30" s="77"/>
      <c r="S30" s="77"/>
      <c r="T30" s="77"/>
      <c r="U30" s="77"/>
      <c r="V30" s="77"/>
      <c r="W30" s="77" t="s">
        <v>80</v>
      </c>
      <c r="X30" s="82" t="s">
        <v>81</v>
      </c>
      <c r="Y30" s="77" t="s">
        <v>80</v>
      </c>
      <c r="Z30" s="82" t="s">
        <v>81</v>
      </c>
      <c r="AA30" s="46"/>
      <c r="AB30" s="28">
        <f>32673+10185</f>
        <v>42858</v>
      </c>
      <c r="AC30" s="85">
        <f>K30/AB30</f>
        <v>0.0233328666759998</v>
      </c>
    </row>
    <row r="31" s="26" customFormat="1" ht="35.5" spans="1:27">
      <c r="A31" s="43" t="s">
        <v>189</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06.5" spans="1:29">
      <c r="A32" s="46">
        <v>22</v>
      </c>
      <c r="B32" s="46" t="s">
        <v>195</v>
      </c>
      <c r="C32" s="46" t="s">
        <v>191</v>
      </c>
      <c r="D32" s="46" t="s">
        <v>35</v>
      </c>
      <c r="E32" s="46" t="s">
        <v>39</v>
      </c>
      <c r="F32" s="46" t="s">
        <v>40</v>
      </c>
      <c r="G32" s="46" t="s">
        <v>985</v>
      </c>
      <c r="H32" s="47" t="s">
        <v>986</v>
      </c>
      <c r="I32" s="46" t="s">
        <v>43</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192</v>
      </c>
      <c r="X32" s="46" t="s">
        <v>987</v>
      </c>
      <c r="Y32" s="46" t="s">
        <v>855</v>
      </c>
      <c r="Z32" s="46" t="s">
        <v>856</v>
      </c>
      <c r="AA32" s="46"/>
      <c r="AB32" s="28"/>
      <c r="AC32" s="28"/>
    </row>
    <row r="33" s="27" customFormat="1" ht="106.5" spans="1:29">
      <c r="A33" s="46">
        <v>23</v>
      </c>
      <c r="B33" s="46" t="s">
        <v>200</v>
      </c>
      <c r="C33" s="46" t="s">
        <v>196</v>
      </c>
      <c r="D33" s="46" t="s">
        <v>35</v>
      </c>
      <c r="E33" s="46" t="s">
        <v>39</v>
      </c>
      <c r="F33" s="46" t="s">
        <v>40</v>
      </c>
      <c r="G33" s="46" t="s">
        <v>988</v>
      </c>
      <c r="H33" s="47" t="s">
        <v>989</v>
      </c>
      <c r="I33" s="46" t="s">
        <v>43</v>
      </c>
      <c r="J33" s="46">
        <v>2045</v>
      </c>
      <c r="K33" s="59">
        <f t="shared" si="13"/>
        <v>368</v>
      </c>
      <c r="L33" s="59">
        <f t="shared" si="14"/>
        <v>368</v>
      </c>
      <c r="M33" s="59">
        <v>368</v>
      </c>
      <c r="N33" s="59"/>
      <c r="O33" s="59"/>
      <c r="P33" s="59"/>
      <c r="Q33" s="46"/>
      <c r="R33" s="46"/>
      <c r="S33" s="46"/>
      <c r="T33" s="46"/>
      <c r="U33" s="46"/>
      <c r="V33" s="46"/>
      <c r="W33" s="46" t="s">
        <v>197</v>
      </c>
      <c r="X33" s="46" t="s">
        <v>990</v>
      </c>
      <c r="Y33" s="46" t="s">
        <v>855</v>
      </c>
      <c r="Z33" s="46" t="s">
        <v>856</v>
      </c>
      <c r="AA33" s="46"/>
      <c r="AB33" s="28"/>
      <c r="AC33" s="28"/>
    </row>
    <row r="34" s="27" customFormat="1" ht="106.5" spans="1:29">
      <c r="A34" s="46">
        <v>24</v>
      </c>
      <c r="B34" s="46" t="s">
        <v>205</v>
      </c>
      <c r="C34" s="46" t="s">
        <v>201</v>
      </c>
      <c r="D34" s="46" t="s">
        <v>35</v>
      </c>
      <c r="E34" s="46" t="s">
        <v>39</v>
      </c>
      <c r="F34" s="46" t="s">
        <v>40</v>
      </c>
      <c r="G34" s="46" t="s">
        <v>991</v>
      </c>
      <c r="H34" s="47" t="s">
        <v>992</v>
      </c>
      <c r="I34" s="46" t="s">
        <v>43</v>
      </c>
      <c r="J34" s="46">
        <v>1600</v>
      </c>
      <c r="K34" s="59">
        <f t="shared" si="13"/>
        <v>288</v>
      </c>
      <c r="L34" s="59">
        <f t="shared" si="14"/>
        <v>126.12</v>
      </c>
      <c r="M34" s="59">
        <f>J34*0.18-U34</f>
        <v>126.12</v>
      </c>
      <c r="N34" s="59"/>
      <c r="O34" s="59"/>
      <c r="P34" s="59"/>
      <c r="Q34" s="46"/>
      <c r="R34" s="46"/>
      <c r="S34" s="46"/>
      <c r="T34" s="46"/>
      <c r="U34" s="46">
        <f>94.88+67</f>
        <v>161.88</v>
      </c>
      <c r="V34" s="46"/>
      <c r="W34" s="46" t="s">
        <v>202</v>
      </c>
      <c r="X34" s="46" t="s">
        <v>993</v>
      </c>
      <c r="Y34" s="46" t="s">
        <v>855</v>
      </c>
      <c r="Z34" s="46" t="s">
        <v>856</v>
      </c>
      <c r="AA34" s="46"/>
      <c r="AB34" s="28"/>
      <c r="AC34" s="28"/>
    </row>
    <row r="35" s="27" customFormat="1" ht="106.5" spans="1:29">
      <c r="A35" s="46">
        <v>25</v>
      </c>
      <c r="B35" s="46" t="s">
        <v>210</v>
      </c>
      <c r="C35" s="46" t="s">
        <v>206</v>
      </c>
      <c r="D35" s="46" t="s">
        <v>35</v>
      </c>
      <c r="E35" s="46" t="s">
        <v>39</v>
      </c>
      <c r="F35" s="46" t="s">
        <v>40</v>
      </c>
      <c r="G35" s="46" t="s">
        <v>207</v>
      </c>
      <c r="H35" s="47" t="s">
        <v>994</v>
      </c>
      <c r="I35" s="46" t="s">
        <v>43</v>
      </c>
      <c r="J35" s="46">
        <v>2260</v>
      </c>
      <c r="K35" s="59">
        <f t="shared" si="13"/>
        <v>398</v>
      </c>
      <c r="L35" s="59">
        <f t="shared" si="14"/>
        <v>398</v>
      </c>
      <c r="M35" s="59">
        <v>398</v>
      </c>
      <c r="N35" s="59"/>
      <c r="O35" s="59"/>
      <c r="P35" s="59"/>
      <c r="Q35" s="46"/>
      <c r="R35" s="46"/>
      <c r="S35" s="46"/>
      <c r="T35" s="46"/>
      <c r="U35" s="46"/>
      <c r="V35" s="46"/>
      <c r="W35" s="46" t="s">
        <v>207</v>
      </c>
      <c r="X35" s="46" t="s">
        <v>995</v>
      </c>
      <c r="Y35" s="46" t="s">
        <v>855</v>
      </c>
      <c r="Z35" s="46" t="s">
        <v>856</v>
      </c>
      <c r="AA35" s="46"/>
      <c r="AB35" s="28"/>
      <c r="AC35" s="28"/>
    </row>
    <row r="36" s="27" customFormat="1" ht="106.5" spans="1:29">
      <c r="A36" s="46">
        <v>26</v>
      </c>
      <c r="B36" s="46" t="s">
        <v>215</v>
      </c>
      <c r="C36" s="46" t="s">
        <v>211</v>
      </c>
      <c r="D36" s="46" t="s">
        <v>35</v>
      </c>
      <c r="E36" s="46" t="s">
        <v>39</v>
      </c>
      <c r="F36" s="46" t="s">
        <v>40</v>
      </c>
      <c r="G36" s="46" t="s">
        <v>996</v>
      </c>
      <c r="H36" s="47" t="s">
        <v>997</v>
      </c>
      <c r="I36" s="46" t="s">
        <v>43</v>
      </c>
      <c r="J36" s="46">
        <v>1788</v>
      </c>
      <c r="K36" s="59">
        <f t="shared" si="13"/>
        <v>320</v>
      </c>
      <c r="L36" s="59">
        <f t="shared" si="14"/>
        <v>320</v>
      </c>
      <c r="M36" s="59">
        <v>320</v>
      </c>
      <c r="N36" s="59"/>
      <c r="O36" s="59"/>
      <c r="P36" s="59"/>
      <c r="Q36" s="46"/>
      <c r="R36" s="46"/>
      <c r="S36" s="46"/>
      <c r="T36" s="46"/>
      <c r="U36" s="46"/>
      <c r="V36" s="46"/>
      <c r="W36" s="46" t="s">
        <v>212</v>
      </c>
      <c r="X36" s="46" t="s">
        <v>998</v>
      </c>
      <c r="Y36" s="46" t="s">
        <v>855</v>
      </c>
      <c r="Z36" s="46" t="s">
        <v>856</v>
      </c>
      <c r="AA36" s="46"/>
      <c r="AB36" s="28"/>
      <c r="AC36" s="28"/>
    </row>
    <row r="37" s="27" customFormat="1" ht="106.5" spans="1:29">
      <c r="A37" s="46">
        <v>27</v>
      </c>
      <c r="B37" s="46" t="s">
        <v>220</v>
      </c>
      <c r="C37" s="46" t="s">
        <v>216</v>
      </c>
      <c r="D37" s="46" t="s">
        <v>35</v>
      </c>
      <c r="E37" s="46" t="s">
        <v>39</v>
      </c>
      <c r="F37" s="46" t="s">
        <v>40</v>
      </c>
      <c r="G37" s="46" t="s">
        <v>217</v>
      </c>
      <c r="H37" s="47" t="s">
        <v>218</v>
      </c>
      <c r="I37" s="46" t="s">
        <v>43</v>
      </c>
      <c r="J37" s="46">
        <v>1500</v>
      </c>
      <c r="K37" s="59">
        <f t="shared" si="13"/>
        <v>270</v>
      </c>
      <c r="L37" s="59">
        <f t="shared" si="14"/>
        <v>270</v>
      </c>
      <c r="M37" s="59">
        <f t="shared" si="15"/>
        <v>270</v>
      </c>
      <c r="N37" s="59"/>
      <c r="O37" s="59"/>
      <c r="P37" s="59"/>
      <c r="Q37" s="46"/>
      <c r="R37" s="46"/>
      <c r="S37" s="46"/>
      <c r="T37" s="46"/>
      <c r="U37" s="46"/>
      <c r="V37" s="46"/>
      <c r="W37" s="46" t="s">
        <v>217</v>
      </c>
      <c r="X37" s="46" t="s">
        <v>999</v>
      </c>
      <c r="Y37" s="46" t="s">
        <v>855</v>
      </c>
      <c r="Z37" s="46" t="s">
        <v>856</v>
      </c>
      <c r="AA37" s="46"/>
      <c r="AB37" s="28"/>
      <c r="AC37" s="28"/>
    </row>
    <row r="38" s="27" customFormat="1" ht="106.5" spans="1:29">
      <c r="A38" s="46">
        <v>28</v>
      </c>
      <c r="B38" s="46" t="s">
        <v>225</v>
      </c>
      <c r="C38" s="46" t="s">
        <v>221</v>
      </c>
      <c r="D38" s="46" t="s">
        <v>35</v>
      </c>
      <c r="E38" s="46" t="s">
        <v>39</v>
      </c>
      <c r="F38" s="46" t="s">
        <v>40</v>
      </c>
      <c r="G38" s="46" t="s">
        <v>222</v>
      </c>
      <c r="H38" s="47" t="s">
        <v>986</v>
      </c>
      <c r="I38" s="46" t="s">
        <v>43</v>
      </c>
      <c r="J38" s="46">
        <v>2200</v>
      </c>
      <c r="K38" s="59">
        <f t="shared" si="13"/>
        <v>396</v>
      </c>
      <c r="L38" s="59">
        <f t="shared" si="14"/>
        <v>396</v>
      </c>
      <c r="M38" s="59">
        <f t="shared" si="15"/>
        <v>396</v>
      </c>
      <c r="N38" s="59"/>
      <c r="O38" s="59"/>
      <c r="P38" s="59"/>
      <c r="Q38" s="46"/>
      <c r="R38" s="46"/>
      <c r="S38" s="46"/>
      <c r="T38" s="46"/>
      <c r="U38" s="46"/>
      <c r="V38" s="46"/>
      <c r="W38" s="46" t="s">
        <v>222</v>
      </c>
      <c r="X38" s="46" t="s">
        <v>1000</v>
      </c>
      <c r="Y38" s="46" t="s">
        <v>855</v>
      </c>
      <c r="Z38" s="46" t="s">
        <v>856</v>
      </c>
      <c r="AA38" s="46"/>
      <c r="AB38" s="28"/>
      <c r="AC38" s="28"/>
    </row>
    <row r="39" s="27" customFormat="1" ht="106.5" spans="1:29">
      <c r="A39" s="46">
        <v>29</v>
      </c>
      <c r="B39" s="46" t="s">
        <v>230</v>
      </c>
      <c r="C39" s="46" t="s">
        <v>226</v>
      </c>
      <c r="D39" s="46" t="s">
        <v>35</v>
      </c>
      <c r="E39" s="46" t="s">
        <v>39</v>
      </c>
      <c r="F39" s="46" t="s">
        <v>40</v>
      </c>
      <c r="G39" s="46" t="s">
        <v>227</v>
      </c>
      <c r="H39" s="47" t="s">
        <v>986</v>
      </c>
      <c r="I39" s="46" t="s">
        <v>43</v>
      </c>
      <c r="J39" s="46">
        <v>2200</v>
      </c>
      <c r="K39" s="59">
        <f t="shared" si="13"/>
        <v>396</v>
      </c>
      <c r="L39" s="59">
        <f t="shared" si="14"/>
        <v>396</v>
      </c>
      <c r="M39" s="59">
        <f t="shared" si="15"/>
        <v>396</v>
      </c>
      <c r="N39" s="59"/>
      <c r="O39" s="59"/>
      <c r="P39" s="59"/>
      <c r="Q39" s="46"/>
      <c r="R39" s="46"/>
      <c r="S39" s="46"/>
      <c r="T39" s="46"/>
      <c r="U39" s="46"/>
      <c r="V39" s="46"/>
      <c r="W39" s="46" t="s">
        <v>227</v>
      </c>
      <c r="X39" s="46" t="s">
        <v>1001</v>
      </c>
      <c r="Y39" s="46" t="s">
        <v>855</v>
      </c>
      <c r="Z39" s="46" t="s">
        <v>856</v>
      </c>
      <c r="AA39" s="46"/>
      <c r="AB39" s="28"/>
      <c r="AC39" s="28"/>
    </row>
    <row r="40" s="27" customFormat="1" ht="106.5" spans="1:29">
      <c r="A40" s="46">
        <v>30</v>
      </c>
      <c r="B40" s="46" t="s">
        <v>235</v>
      </c>
      <c r="C40" s="46" t="s">
        <v>231</v>
      </c>
      <c r="D40" s="46" t="s">
        <v>35</v>
      </c>
      <c r="E40" s="46" t="s">
        <v>39</v>
      </c>
      <c r="F40" s="46" t="s">
        <v>40</v>
      </c>
      <c r="G40" s="46" t="s">
        <v>1002</v>
      </c>
      <c r="H40" s="47" t="s">
        <v>986</v>
      </c>
      <c r="I40" s="46" t="s">
        <v>43</v>
      </c>
      <c r="J40" s="46">
        <v>2200</v>
      </c>
      <c r="K40" s="59">
        <f t="shared" si="13"/>
        <v>396</v>
      </c>
      <c r="L40" s="59">
        <f t="shared" si="14"/>
        <v>396</v>
      </c>
      <c r="M40" s="59">
        <f t="shared" si="15"/>
        <v>396</v>
      </c>
      <c r="N40" s="59"/>
      <c r="O40" s="59"/>
      <c r="P40" s="59"/>
      <c r="Q40" s="46"/>
      <c r="R40" s="46"/>
      <c r="S40" s="46"/>
      <c r="T40" s="46"/>
      <c r="U40" s="46"/>
      <c r="V40" s="46"/>
      <c r="W40" s="46" t="s">
        <v>232</v>
      </c>
      <c r="X40" s="46" t="s">
        <v>1003</v>
      </c>
      <c r="Y40" s="46" t="s">
        <v>855</v>
      </c>
      <c r="Z40" s="46" t="s">
        <v>856</v>
      </c>
      <c r="AA40" s="46"/>
      <c r="AB40" s="28"/>
      <c r="AC40" s="28"/>
    </row>
    <row r="41" s="27" customFormat="1" ht="106.5" spans="1:29">
      <c r="A41" s="46">
        <v>31</v>
      </c>
      <c r="B41" s="46" t="s">
        <v>240</v>
      </c>
      <c r="C41" s="46" t="s">
        <v>236</v>
      </c>
      <c r="D41" s="46" t="s">
        <v>35</v>
      </c>
      <c r="E41" s="46" t="s">
        <v>39</v>
      </c>
      <c r="F41" s="46" t="s">
        <v>40</v>
      </c>
      <c r="G41" s="46" t="s">
        <v>237</v>
      </c>
      <c r="H41" s="47" t="s">
        <v>986</v>
      </c>
      <c r="I41" s="46" t="s">
        <v>43</v>
      </c>
      <c r="J41" s="46">
        <v>2200</v>
      </c>
      <c r="K41" s="59">
        <f t="shared" si="13"/>
        <v>396</v>
      </c>
      <c r="L41" s="59">
        <f t="shared" si="14"/>
        <v>396</v>
      </c>
      <c r="M41" s="59">
        <f t="shared" si="15"/>
        <v>396</v>
      </c>
      <c r="N41" s="59"/>
      <c r="O41" s="59"/>
      <c r="P41" s="59"/>
      <c r="Q41" s="46"/>
      <c r="R41" s="46"/>
      <c r="S41" s="46"/>
      <c r="T41" s="46"/>
      <c r="U41" s="46"/>
      <c r="V41" s="46"/>
      <c r="W41" s="46" t="s">
        <v>237</v>
      </c>
      <c r="X41" s="46" t="s">
        <v>1004</v>
      </c>
      <c r="Y41" s="46" t="s">
        <v>855</v>
      </c>
      <c r="Z41" s="46" t="s">
        <v>856</v>
      </c>
      <c r="AA41" s="46"/>
      <c r="AB41" s="28"/>
      <c r="AC41" s="28"/>
    </row>
    <row r="42" s="27" customFormat="1" ht="106.5" spans="1:29">
      <c r="A42" s="46">
        <v>32</v>
      </c>
      <c r="B42" s="46" t="s">
        <v>245</v>
      </c>
      <c r="C42" s="46" t="s">
        <v>241</v>
      </c>
      <c r="D42" s="46" t="s">
        <v>35</v>
      </c>
      <c r="E42" s="46" t="s">
        <v>39</v>
      </c>
      <c r="F42" s="46" t="s">
        <v>40</v>
      </c>
      <c r="G42" s="46" t="s">
        <v>1005</v>
      </c>
      <c r="H42" s="47" t="s">
        <v>986</v>
      </c>
      <c r="I42" s="46" t="s">
        <v>43</v>
      </c>
      <c r="J42" s="46">
        <v>2200</v>
      </c>
      <c r="K42" s="59">
        <f t="shared" si="13"/>
        <v>396</v>
      </c>
      <c r="L42" s="59">
        <f t="shared" si="14"/>
        <v>396</v>
      </c>
      <c r="M42" s="59">
        <f t="shared" si="15"/>
        <v>396</v>
      </c>
      <c r="N42" s="59"/>
      <c r="O42" s="59"/>
      <c r="P42" s="59"/>
      <c r="Q42" s="46"/>
      <c r="R42" s="46"/>
      <c r="S42" s="46"/>
      <c r="T42" s="46"/>
      <c r="U42" s="46"/>
      <c r="V42" s="46"/>
      <c r="W42" s="46" t="s">
        <v>242</v>
      </c>
      <c r="X42" s="46" t="s">
        <v>1006</v>
      </c>
      <c r="Y42" s="46" t="s">
        <v>855</v>
      </c>
      <c r="Z42" s="46" t="s">
        <v>856</v>
      </c>
      <c r="AA42" s="46"/>
      <c r="AB42" s="28"/>
      <c r="AC42" s="28"/>
    </row>
    <row r="43" s="27" customFormat="1" ht="106.5" spans="1:29">
      <c r="A43" s="46">
        <v>33</v>
      </c>
      <c r="B43" s="46" t="s">
        <v>250</v>
      </c>
      <c r="C43" s="46" t="s">
        <v>246</v>
      </c>
      <c r="D43" s="46" t="s">
        <v>35</v>
      </c>
      <c r="E43" s="46" t="s">
        <v>39</v>
      </c>
      <c r="F43" s="46" t="s">
        <v>40</v>
      </c>
      <c r="G43" s="46" t="s">
        <v>1007</v>
      </c>
      <c r="H43" s="47" t="s">
        <v>1008</v>
      </c>
      <c r="I43" s="46" t="s">
        <v>43</v>
      </c>
      <c r="J43" s="46">
        <v>2367</v>
      </c>
      <c r="K43" s="59">
        <f t="shared" si="13"/>
        <v>395</v>
      </c>
      <c r="L43" s="59">
        <f t="shared" si="14"/>
        <v>395</v>
      </c>
      <c r="M43" s="59">
        <v>395</v>
      </c>
      <c r="N43" s="59"/>
      <c r="O43" s="59"/>
      <c r="P43" s="59"/>
      <c r="Q43" s="46"/>
      <c r="R43" s="46"/>
      <c r="S43" s="46"/>
      <c r="T43" s="46"/>
      <c r="U43" s="46"/>
      <c r="V43" s="46"/>
      <c r="W43" s="46" t="s">
        <v>247</v>
      </c>
      <c r="X43" s="46" t="s">
        <v>1009</v>
      </c>
      <c r="Y43" s="46" t="s">
        <v>855</v>
      </c>
      <c r="Z43" s="46" t="s">
        <v>856</v>
      </c>
      <c r="AA43" s="46"/>
      <c r="AB43" s="28"/>
      <c r="AC43" s="28"/>
    </row>
    <row r="44" s="27" customFormat="1" ht="106.5" spans="1:29">
      <c r="A44" s="46">
        <v>34</v>
      </c>
      <c r="B44" s="46" t="s">
        <v>255</v>
      </c>
      <c r="C44" s="46" t="s">
        <v>251</v>
      </c>
      <c r="D44" s="46" t="s">
        <v>35</v>
      </c>
      <c r="E44" s="46" t="s">
        <v>39</v>
      </c>
      <c r="F44" s="46" t="s">
        <v>40</v>
      </c>
      <c r="G44" s="46" t="s">
        <v>252</v>
      </c>
      <c r="H44" s="47" t="s">
        <v>986</v>
      </c>
      <c r="I44" s="46" t="s">
        <v>43</v>
      </c>
      <c r="J44" s="46">
        <v>2200</v>
      </c>
      <c r="K44" s="59">
        <f t="shared" si="13"/>
        <v>396</v>
      </c>
      <c r="L44" s="59">
        <f t="shared" si="14"/>
        <v>396</v>
      </c>
      <c r="M44" s="59">
        <f>J44*0.18</f>
        <v>396</v>
      </c>
      <c r="N44" s="59"/>
      <c r="O44" s="59"/>
      <c r="P44" s="59"/>
      <c r="Q44" s="46"/>
      <c r="R44" s="46"/>
      <c r="S44" s="46"/>
      <c r="T44" s="46"/>
      <c r="U44" s="46"/>
      <c r="V44" s="46"/>
      <c r="W44" s="46" t="s">
        <v>252</v>
      </c>
      <c r="X44" s="46" t="s">
        <v>1010</v>
      </c>
      <c r="Y44" s="46" t="s">
        <v>855</v>
      </c>
      <c r="Z44" s="46" t="s">
        <v>856</v>
      </c>
      <c r="AA44" s="46"/>
      <c r="AB44" s="28"/>
      <c r="AC44" s="28"/>
    </row>
    <row r="45" s="27" customFormat="1" ht="106.5" spans="1:29">
      <c r="A45" s="46">
        <v>35</v>
      </c>
      <c r="B45" s="46" t="s">
        <v>260</v>
      </c>
      <c r="C45" s="46" t="s">
        <v>256</v>
      </c>
      <c r="D45" s="46" t="s">
        <v>35</v>
      </c>
      <c r="E45" s="46" t="s">
        <v>39</v>
      </c>
      <c r="F45" s="46" t="s">
        <v>40</v>
      </c>
      <c r="G45" s="46" t="s">
        <v>1011</v>
      </c>
      <c r="H45" s="47" t="s">
        <v>1012</v>
      </c>
      <c r="I45" s="46" t="s">
        <v>43</v>
      </c>
      <c r="J45" s="46">
        <v>2150</v>
      </c>
      <c r="K45" s="59">
        <f t="shared" si="13"/>
        <v>387</v>
      </c>
      <c r="L45" s="59">
        <f t="shared" si="14"/>
        <v>387</v>
      </c>
      <c r="M45" s="59">
        <f t="shared" si="15"/>
        <v>387</v>
      </c>
      <c r="N45" s="59"/>
      <c r="O45" s="59"/>
      <c r="P45" s="59"/>
      <c r="Q45" s="46"/>
      <c r="R45" s="46"/>
      <c r="S45" s="46"/>
      <c r="T45" s="46"/>
      <c r="U45" s="46"/>
      <c r="V45" s="46"/>
      <c r="W45" s="46" t="s">
        <v>257</v>
      </c>
      <c r="X45" s="46" t="s">
        <v>1013</v>
      </c>
      <c r="Y45" s="46" t="s">
        <v>855</v>
      </c>
      <c r="Z45" s="46" t="s">
        <v>856</v>
      </c>
      <c r="AA45" s="46"/>
      <c r="AB45" s="28"/>
      <c r="AC45" s="28"/>
    </row>
    <row r="46" s="27" customFormat="1" ht="106.5" spans="1:29">
      <c r="A46" s="46">
        <v>36</v>
      </c>
      <c r="B46" s="46" t="s">
        <v>265</v>
      </c>
      <c r="C46" s="46" t="s">
        <v>261</v>
      </c>
      <c r="D46" s="46" t="s">
        <v>35</v>
      </c>
      <c r="E46" s="46" t="s">
        <v>39</v>
      </c>
      <c r="F46" s="46" t="s">
        <v>40</v>
      </c>
      <c r="G46" s="46" t="s">
        <v>262</v>
      </c>
      <c r="H46" s="47" t="s">
        <v>986</v>
      </c>
      <c r="I46" s="46" t="s">
        <v>43</v>
      </c>
      <c r="J46" s="46">
        <v>2200</v>
      </c>
      <c r="K46" s="59">
        <f t="shared" si="13"/>
        <v>396</v>
      </c>
      <c r="L46" s="59">
        <f t="shared" si="14"/>
        <v>396</v>
      </c>
      <c r="M46" s="59">
        <f t="shared" si="15"/>
        <v>396</v>
      </c>
      <c r="N46" s="59"/>
      <c r="O46" s="59"/>
      <c r="P46" s="59"/>
      <c r="Q46" s="46"/>
      <c r="R46" s="46"/>
      <c r="S46" s="46"/>
      <c r="T46" s="46"/>
      <c r="U46" s="46"/>
      <c r="V46" s="46"/>
      <c r="W46" s="46" t="s">
        <v>262</v>
      </c>
      <c r="X46" s="46" t="s">
        <v>1014</v>
      </c>
      <c r="Y46" s="46" t="s">
        <v>855</v>
      </c>
      <c r="Z46" s="46" t="s">
        <v>856</v>
      </c>
      <c r="AA46" s="46"/>
      <c r="AB46" s="28"/>
      <c r="AC46" s="28"/>
    </row>
    <row r="47" s="27" customFormat="1" ht="106.5" spans="1:29">
      <c r="A47" s="46">
        <v>37</v>
      </c>
      <c r="B47" s="46" t="s">
        <v>270</v>
      </c>
      <c r="C47" s="46" t="s">
        <v>266</v>
      </c>
      <c r="D47" s="46" t="s">
        <v>35</v>
      </c>
      <c r="E47" s="46" t="s">
        <v>39</v>
      </c>
      <c r="F47" s="46" t="s">
        <v>40</v>
      </c>
      <c r="G47" s="46" t="s">
        <v>267</v>
      </c>
      <c r="H47" s="47" t="s">
        <v>1015</v>
      </c>
      <c r="I47" s="46" t="s">
        <v>43</v>
      </c>
      <c r="J47" s="46">
        <v>2000</v>
      </c>
      <c r="K47" s="59">
        <f t="shared" si="13"/>
        <v>360</v>
      </c>
      <c r="L47" s="59">
        <f t="shared" si="14"/>
        <v>360</v>
      </c>
      <c r="M47" s="59">
        <f t="shared" si="15"/>
        <v>360</v>
      </c>
      <c r="N47" s="59"/>
      <c r="O47" s="59"/>
      <c r="P47" s="59"/>
      <c r="Q47" s="46"/>
      <c r="R47" s="46"/>
      <c r="S47" s="46"/>
      <c r="T47" s="46"/>
      <c r="U47" s="46"/>
      <c r="V47" s="46"/>
      <c r="W47" s="46" t="s">
        <v>267</v>
      </c>
      <c r="X47" s="46" t="s">
        <v>1016</v>
      </c>
      <c r="Y47" s="46" t="s">
        <v>855</v>
      </c>
      <c r="Z47" s="46" t="s">
        <v>856</v>
      </c>
      <c r="AA47" s="46"/>
      <c r="AB47" s="28"/>
      <c r="AC47" s="28"/>
    </row>
    <row r="48" s="27" customFormat="1" ht="106.5" spans="1:29">
      <c r="A48" s="46">
        <v>38</v>
      </c>
      <c r="B48" s="46" t="s">
        <v>274</v>
      </c>
      <c r="C48" s="46" t="s">
        <v>271</v>
      </c>
      <c r="D48" s="46" t="s">
        <v>35</v>
      </c>
      <c r="E48" s="46" t="s">
        <v>39</v>
      </c>
      <c r="F48" s="46" t="s">
        <v>40</v>
      </c>
      <c r="G48" s="46" t="s">
        <v>197</v>
      </c>
      <c r="H48" s="47" t="s">
        <v>1017</v>
      </c>
      <c r="I48" s="46" t="s">
        <v>43</v>
      </c>
      <c r="J48" s="46">
        <v>2045</v>
      </c>
      <c r="K48" s="59">
        <f t="shared" si="13"/>
        <v>306</v>
      </c>
      <c r="L48" s="59">
        <f t="shared" si="14"/>
        <v>306</v>
      </c>
      <c r="M48" s="59">
        <v>306</v>
      </c>
      <c r="N48" s="59"/>
      <c r="O48" s="59"/>
      <c r="P48" s="59"/>
      <c r="Q48" s="46"/>
      <c r="R48" s="46"/>
      <c r="S48" s="46"/>
      <c r="T48" s="46"/>
      <c r="U48" s="46"/>
      <c r="V48" s="46"/>
      <c r="W48" s="46" t="s">
        <v>197</v>
      </c>
      <c r="X48" s="46" t="s">
        <v>990</v>
      </c>
      <c r="Y48" s="46" t="s">
        <v>855</v>
      </c>
      <c r="Z48" s="46" t="s">
        <v>856</v>
      </c>
      <c r="AA48" s="46"/>
      <c r="AB48" s="28"/>
      <c r="AC48" s="28"/>
    </row>
    <row r="49" s="27" customFormat="1" ht="106.5" spans="1:29">
      <c r="A49" s="46">
        <v>39</v>
      </c>
      <c r="B49" s="46" t="s">
        <v>278</v>
      </c>
      <c r="C49" s="46" t="s">
        <v>275</v>
      </c>
      <c r="D49" s="46" t="s">
        <v>35</v>
      </c>
      <c r="E49" s="46" t="s">
        <v>39</v>
      </c>
      <c r="F49" s="46" t="s">
        <v>40</v>
      </c>
      <c r="G49" s="46" t="s">
        <v>202</v>
      </c>
      <c r="H49" s="47" t="s">
        <v>1018</v>
      </c>
      <c r="I49" s="46" t="s">
        <v>43</v>
      </c>
      <c r="J49" s="46">
        <v>2600</v>
      </c>
      <c r="K49" s="59">
        <f t="shared" si="13"/>
        <v>390</v>
      </c>
      <c r="L49" s="59">
        <f t="shared" si="14"/>
        <v>390</v>
      </c>
      <c r="M49" s="59">
        <f>J49*0.15</f>
        <v>390</v>
      </c>
      <c r="N49" s="59"/>
      <c r="O49" s="59"/>
      <c r="P49" s="59"/>
      <c r="Q49" s="46"/>
      <c r="R49" s="46"/>
      <c r="S49" s="46"/>
      <c r="T49" s="46"/>
      <c r="U49" s="46"/>
      <c r="V49" s="46"/>
      <c r="W49" s="46" t="s">
        <v>202</v>
      </c>
      <c r="X49" s="46" t="s">
        <v>993</v>
      </c>
      <c r="Y49" s="46" t="s">
        <v>855</v>
      </c>
      <c r="Z49" s="46" t="s">
        <v>856</v>
      </c>
      <c r="AA49" s="46"/>
      <c r="AB49" s="28"/>
      <c r="AC49" s="28"/>
    </row>
    <row r="50" s="27" customFormat="1" ht="106.5" spans="1:29">
      <c r="A50" s="46">
        <v>40</v>
      </c>
      <c r="B50" s="46" t="s">
        <v>282</v>
      </c>
      <c r="C50" s="46" t="s">
        <v>279</v>
      </c>
      <c r="D50" s="46" t="s">
        <v>35</v>
      </c>
      <c r="E50" s="46" t="s">
        <v>39</v>
      </c>
      <c r="F50" s="46" t="s">
        <v>40</v>
      </c>
      <c r="G50" s="46" t="s">
        <v>212</v>
      </c>
      <c r="H50" s="47" t="s">
        <v>1019</v>
      </c>
      <c r="I50" s="46" t="s">
        <v>43</v>
      </c>
      <c r="J50" s="46">
        <v>4400</v>
      </c>
      <c r="K50" s="59">
        <f t="shared" si="13"/>
        <v>660</v>
      </c>
      <c r="L50" s="59">
        <f t="shared" si="14"/>
        <v>660</v>
      </c>
      <c r="M50" s="59">
        <f>J50*0.15</f>
        <v>660</v>
      </c>
      <c r="N50" s="59"/>
      <c r="O50" s="59"/>
      <c r="P50" s="59"/>
      <c r="Q50" s="46"/>
      <c r="R50" s="46"/>
      <c r="S50" s="46"/>
      <c r="T50" s="46"/>
      <c r="U50" s="46"/>
      <c r="V50" s="46"/>
      <c r="W50" s="46" t="s">
        <v>212</v>
      </c>
      <c r="X50" s="46" t="s">
        <v>998</v>
      </c>
      <c r="Y50" s="46" t="s">
        <v>855</v>
      </c>
      <c r="Z50" s="46" t="s">
        <v>856</v>
      </c>
      <c r="AA50" s="46"/>
      <c r="AB50" s="28"/>
      <c r="AC50" s="28"/>
    </row>
    <row r="51" s="27" customFormat="1" ht="106.5" spans="1:29">
      <c r="A51" s="46">
        <v>42</v>
      </c>
      <c r="B51" s="46" t="s">
        <v>291</v>
      </c>
      <c r="C51" s="46" t="s">
        <v>288</v>
      </c>
      <c r="D51" s="46" t="s">
        <v>35</v>
      </c>
      <c r="E51" s="46" t="s">
        <v>39</v>
      </c>
      <c r="F51" s="46" t="s">
        <v>40</v>
      </c>
      <c r="G51" s="46" t="s">
        <v>217</v>
      </c>
      <c r="H51" s="47" t="s">
        <v>289</v>
      </c>
      <c r="I51" s="46" t="s">
        <v>43</v>
      </c>
      <c r="J51" s="46">
        <v>1500</v>
      </c>
      <c r="K51" s="59">
        <f t="shared" si="13"/>
        <v>225</v>
      </c>
      <c r="L51" s="59">
        <f t="shared" si="14"/>
        <v>225</v>
      </c>
      <c r="M51" s="59">
        <v>225</v>
      </c>
      <c r="N51" s="59"/>
      <c r="O51" s="59"/>
      <c r="P51" s="59"/>
      <c r="Q51" s="46"/>
      <c r="R51" s="46"/>
      <c r="S51" s="46"/>
      <c r="T51" s="46"/>
      <c r="U51" s="46"/>
      <c r="V51" s="46"/>
      <c r="W51" s="46" t="s">
        <v>217</v>
      </c>
      <c r="X51" s="46" t="s">
        <v>999</v>
      </c>
      <c r="Y51" s="46" t="s">
        <v>855</v>
      </c>
      <c r="Z51" s="46" t="s">
        <v>856</v>
      </c>
      <c r="AA51" s="46"/>
      <c r="AB51" s="28"/>
      <c r="AC51" s="28"/>
    </row>
    <row r="52" s="27" customFormat="1" ht="106.5" spans="1:29">
      <c r="A52" s="46">
        <v>43</v>
      </c>
      <c r="B52" s="46" t="s">
        <v>295</v>
      </c>
      <c r="C52" s="46" t="s">
        <v>292</v>
      </c>
      <c r="D52" s="46" t="s">
        <v>35</v>
      </c>
      <c r="E52" s="46" t="s">
        <v>39</v>
      </c>
      <c r="F52" s="46" t="s">
        <v>40</v>
      </c>
      <c r="G52" s="46" t="s">
        <v>227</v>
      </c>
      <c r="H52" s="47" t="s">
        <v>1020</v>
      </c>
      <c r="I52" s="46" t="s">
        <v>43</v>
      </c>
      <c r="J52" s="46">
        <v>2200</v>
      </c>
      <c r="K52" s="59">
        <f t="shared" si="13"/>
        <v>330</v>
      </c>
      <c r="L52" s="59">
        <f t="shared" si="14"/>
        <v>330</v>
      </c>
      <c r="M52" s="59">
        <f>J52*0.15</f>
        <v>330</v>
      </c>
      <c r="N52" s="59"/>
      <c r="O52" s="59"/>
      <c r="P52" s="59"/>
      <c r="Q52" s="46"/>
      <c r="R52" s="46"/>
      <c r="S52" s="46"/>
      <c r="T52" s="46"/>
      <c r="U52" s="46"/>
      <c r="V52" s="46"/>
      <c r="W52" s="46" t="s">
        <v>227</v>
      </c>
      <c r="X52" s="46" t="s">
        <v>1001</v>
      </c>
      <c r="Y52" s="46" t="s">
        <v>855</v>
      </c>
      <c r="Z52" s="46" t="s">
        <v>856</v>
      </c>
      <c r="AA52" s="46"/>
      <c r="AB52" s="28"/>
      <c r="AC52" s="28"/>
    </row>
    <row r="53" s="28" customFormat="1" ht="106.5" spans="1:27">
      <c r="A53" s="46">
        <v>45</v>
      </c>
      <c r="B53" s="46" t="s">
        <v>307</v>
      </c>
      <c r="C53" s="46" t="s">
        <v>304</v>
      </c>
      <c r="D53" s="46" t="s">
        <v>35</v>
      </c>
      <c r="E53" s="46" t="s">
        <v>39</v>
      </c>
      <c r="F53" s="46" t="s">
        <v>40</v>
      </c>
      <c r="G53" s="46" t="s">
        <v>252</v>
      </c>
      <c r="H53" s="47" t="s">
        <v>1021</v>
      </c>
      <c r="I53" s="46" t="s">
        <v>43</v>
      </c>
      <c r="J53" s="46">
        <v>3500</v>
      </c>
      <c r="K53" s="59">
        <f t="shared" si="13"/>
        <v>525</v>
      </c>
      <c r="L53" s="59">
        <f t="shared" si="14"/>
        <v>525</v>
      </c>
      <c r="M53" s="59">
        <f>J53*0.15</f>
        <v>525</v>
      </c>
      <c r="N53" s="59"/>
      <c r="O53" s="59"/>
      <c r="P53" s="59"/>
      <c r="Q53" s="46"/>
      <c r="R53" s="46"/>
      <c r="S53" s="46"/>
      <c r="T53" s="46"/>
      <c r="U53" s="46"/>
      <c r="V53" s="46"/>
      <c r="W53" s="46" t="s">
        <v>252</v>
      </c>
      <c r="X53" s="46" t="s">
        <v>1010</v>
      </c>
      <c r="Y53" s="46" t="s">
        <v>855</v>
      </c>
      <c r="Z53" s="46" t="s">
        <v>856</v>
      </c>
      <c r="AA53" s="46"/>
    </row>
    <row r="54" s="28" customFormat="1" ht="106.5" spans="1:27">
      <c r="A54" s="46">
        <v>46</v>
      </c>
      <c r="B54" s="46" t="s">
        <v>311</v>
      </c>
      <c r="C54" s="46" t="s">
        <v>308</v>
      </c>
      <c r="D54" s="46" t="s">
        <v>35</v>
      </c>
      <c r="E54" s="46" t="s">
        <v>39</v>
      </c>
      <c r="F54" s="46" t="s">
        <v>40</v>
      </c>
      <c r="G54" s="46" t="s">
        <v>257</v>
      </c>
      <c r="H54" s="47" t="s">
        <v>1022</v>
      </c>
      <c r="I54" s="46" t="s">
        <v>43</v>
      </c>
      <c r="J54" s="46">
        <v>1900</v>
      </c>
      <c r="K54" s="59">
        <f t="shared" si="13"/>
        <v>285</v>
      </c>
      <c r="L54" s="59">
        <f t="shared" si="14"/>
        <v>285</v>
      </c>
      <c r="M54" s="59">
        <f>J54*0.15</f>
        <v>285</v>
      </c>
      <c r="N54" s="59"/>
      <c r="O54" s="59"/>
      <c r="P54" s="59"/>
      <c r="Q54" s="46"/>
      <c r="R54" s="46"/>
      <c r="S54" s="46"/>
      <c r="T54" s="46"/>
      <c r="U54" s="46"/>
      <c r="V54" s="46"/>
      <c r="W54" s="46" t="s">
        <v>257</v>
      </c>
      <c r="X54" s="46" t="s">
        <v>1013</v>
      </c>
      <c r="Y54" s="46" t="s">
        <v>855</v>
      </c>
      <c r="Z54" s="46" t="s">
        <v>856</v>
      </c>
      <c r="AA54" s="46"/>
    </row>
    <row r="55" s="27" customFormat="1" ht="132" customHeight="1" spans="1:29">
      <c r="A55" s="46">
        <v>47</v>
      </c>
      <c r="B55" s="46" t="s">
        <v>315</v>
      </c>
      <c r="C55" s="46" t="s">
        <v>312</v>
      </c>
      <c r="D55" s="46" t="s">
        <v>35</v>
      </c>
      <c r="E55" s="46" t="s">
        <v>39</v>
      </c>
      <c r="F55" s="46" t="s">
        <v>40</v>
      </c>
      <c r="G55" s="46" t="s">
        <v>262</v>
      </c>
      <c r="H55" s="47" t="s">
        <v>1023</v>
      </c>
      <c r="I55" s="46" t="s">
        <v>43</v>
      </c>
      <c r="J55" s="46">
        <v>2380</v>
      </c>
      <c r="K55" s="59">
        <f t="shared" si="13"/>
        <v>357</v>
      </c>
      <c r="L55" s="59">
        <f t="shared" si="14"/>
        <v>357</v>
      </c>
      <c r="M55" s="59">
        <f>J55*0.15</f>
        <v>357</v>
      </c>
      <c r="N55" s="59"/>
      <c r="O55" s="59"/>
      <c r="P55" s="59"/>
      <c r="Q55" s="46"/>
      <c r="R55" s="46"/>
      <c r="S55" s="46"/>
      <c r="T55" s="46"/>
      <c r="U55" s="46"/>
      <c r="V55" s="46"/>
      <c r="W55" s="46" t="s">
        <v>262</v>
      </c>
      <c r="X55" s="46" t="s">
        <v>1014</v>
      </c>
      <c r="Y55" s="46" t="s">
        <v>855</v>
      </c>
      <c r="Z55" s="46" t="s">
        <v>856</v>
      </c>
      <c r="AA55" s="46"/>
      <c r="AB55" s="28"/>
      <c r="AC55" s="28"/>
    </row>
    <row r="56" s="27" customFormat="1" ht="106.5" spans="1:29">
      <c r="A56" s="46">
        <v>48</v>
      </c>
      <c r="B56" s="46" t="s">
        <v>320</v>
      </c>
      <c r="C56" s="46" t="s">
        <v>316</v>
      </c>
      <c r="D56" s="46" t="s">
        <v>35</v>
      </c>
      <c r="E56" s="46" t="s">
        <v>39</v>
      </c>
      <c r="F56" s="46" t="s">
        <v>40</v>
      </c>
      <c r="G56" s="46" t="s">
        <v>267</v>
      </c>
      <c r="H56" s="47" t="s">
        <v>317</v>
      </c>
      <c r="I56" s="46" t="s">
        <v>43</v>
      </c>
      <c r="J56" s="46">
        <v>4110</v>
      </c>
      <c r="K56" s="59">
        <f t="shared" si="13"/>
        <v>616.5</v>
      </c>
      <c r="L56" s="59">
        <f t="shared" si="14"/>
        <v>616.5</v>
      </c>
      <c r="M56" s="59">
        <v>616.5</v>
      </c>
      <c r="N56" s="59"/>
      <c r="O56" s="59"/>
      <c r="P56" s="59"/>
      <c r="Q56" s="46"/>
      <c r="R56" s="46"/>
      <c r="S56" s="46"/>
      <c r="T56" s="46"/>
      <c r="U56" s="46"/>
      <c r="V56" s="46"/>
      <c r="W56" s="46" t="s">
        <v>267</v>
      </c>
      <c r="X56" s="46" t="s">
        <v>1016</v>
      </c>
      <c r="Y56" s="46" t="s">
        <v>855</v>
      </c>
      <c r="Z56" s="46" t="s">
        <v>856</v>
      </c>
      <c r="AA56" s="46"/>
      <c r="AB56" s="28"/>
      <c r="AC56" s="28"/>
    </row>
    <row r="57" s="26" customFormat="1" ht="35.5" spans="1:27">
      <c r="A57" s="43" t="s">
        <v>319</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6.5" spans="1:29">
      <c r="A58" s="46">
        <v>49</v>
      </c>
      <c r="B58" s="46" t="s">
        <v>324</v>
      </c>
      <c r="C58" s="46" t="s">
        <v>321</v>
      </c>
      <c r="D58" s="46" t="s">
        <v>35</v>
      </c>
      <c r="E58" s="46" t="s">
        <v>39</v>
      </c>
      <c r="F58" s="46" t="s">
        <v>40</v>
      </c>
      <c r="G58" s="46" t="s">
        <v>202</v>
      </c>
      <c r="H58" s="47" t="s">
        <v>322</v>
      </c>
      <c r="I58" s="46" t="s">
        <v>43</v>
      </c>
      <c r="J58" s="46">
        <v>600</v>
      </c>
      <c r="K58" s="59">
        <f>SUM(L58,T58,U58,V58)</f>
        <v>120</v>
      </c>
      <c r="L58" s="59">
        <f>SUM(M58:S58)</f>
        <v>120</v>
      </c>
      <c r="M58" s="59">
        <v>120</v>
      </c>
      <c r="N58" s="59"/>
      <c r="O58" s="59"/>
      <c r="P58" s="59"/>
      <c r="Q58" s="46"/>
      <c r="R58" s="46"/>
      <c r="S58" s="46"/>
      <c r="T58" s="46"/>
      <c r="U58" s="46"/>
      <c r="V58" s="46"/>
      <c r="W58" s="46" t="s">
        <v>202</v>
      </c>
      <c r="X58" s="46" t="s">
        <v>993</v>
      </c>
      <c r="Y58" s="46" t="s">
        <v>847</v>
      </c>
      <c r="Z58" s="46" t="s">
        <v>848</v>
      </c>
      <c r="AA58" s="46"/>
      <c r="AB58" s="28"/>
      <c r="AC58" s="28"/>
    </row>
    <row r="59" s="28" customFormat="1" ht="142" spans="1:27">
      <c r="A59" s="46">
        <v>50</v>
      </c>
      <c r="B59" s="46" t="s">
        <v>339</v>
      </c>
      <c r="C59" s="46" t="s">
        <v>340</v>
      </c>
      <c r="D59" s="46" t="s">
        <v>35</v>
      </c>
      <c r="E59" s="46" t="s">
        <v>39</v>
      </c>
      <c r="F59" s="46" t="s">
        <v>40</v>
      </c>
      <c r="G59" s="46" t="s">
        <v>341</v>
      </c>
      <c r="H59" s="78" t="s">
        <v>342</v>
      </c>
      <c r="I59" s="77" t="s">
        <v>43</v>
      </c>
      <c r="J59" s="46">
        <v>280</v>
      </c>
      <c r="K59" s="59">
        <f>SUM(L59,T59,U59,V59)</f>
        <v>85</v>
      </c>
      <c r="L59" s="59">
        <f>SUM(M59:S59)</f>
        <v>85</v>
      </c>
      <c r="M59" s="59"/>
      <c r="N59" s="81"/>
      <c r="O59" s="59"/>
      <c r="P59" s="59"/>
      <c r="Q59" s="46"/>
      <c r="R59" s="46">
        <v>85</v>
      </c>
      <c r="S59" s="46"/>
      <c r="T59" s="46"/>
      <c r="U59" s="46"/>
      <c r="V59" s="46"/>
      <c r="W59" s="46" t="s">
        <v>341</v>
      </c>
      <c r="X59" s="46" t="s">
        <v>1024</v>
      </c>
      <c r="Y59" s="46" t="s">
        <v>847</v>
      </c>
      <c r="Z59" s="46" t="s">
        <v>848</v>
      </c>
      <c r="AA59" s="46"/>
    </row>
    <row r="60" s="26" customFormat="1" ht="35.5" spans="1:27">
      <c r="A60" s="43" t="s">
        <v>1025</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48.5" spans="1:27">
      <c r="A61" s="46">
        <v>51</v>
      </c>
      <c r="B61" s="46" t="s">
        <v>358</v>
      </c>
      <c r="C61" s="46" t="s">
        <v>900</v>
      </c>
      <c r="D61" s="46" t="s">
        <v>35</v>
      </c>
      <c r="E61" s="46" t="s">
        <v>39</v>
      </c>
      <c r="F61" s="46" t="s">
        <v>40</v>
      </c>
      <c r="G61" s="46" t="s">
        <v>360</v>
      </c>
      <c r="H61" s="47" t="s">
        <v>361</v>
      </c>
      <c r="I61" s="46" t="s">
        <v>164</v>
      </c>
      <c r="J61" s="46">
        <v>87</v>
      </c>
      <c r="K61" s="59">
        <f>SUM(L61,T61:V61)</f>
        <v>69.89</v>
      </c>
      <c r="L61" s="59">
        <f>SUM(M61:S61)</f>
        <v>69.89</v>
      </c>
      <c r="M61" s="59">
        <v>69.89</v>
      </c>
      <c r="N61" s="59"/>
      <c r="O61" s="59"/>
      <c r="P61" s="59"/>
      <c r="Q61" s="46"/>
      <c r="R61" s="46"/>
      <c r="S61" s="46"/>
      <c r="T61" s="46"/>
      <c r="U61" s="46"/>
      <c r="V61" s="46"/>
      <c r="W61" s="46" t="s">
        <v>197</v>
      </c>
      <c r="X61" s="46" t="s">
        <v>990</v>
      </c>
      <c r="Y61" s="46" t="s">
        <v>369</v>
      </c>
      <c r="Z61" s="46" t="s">
        <v>370</v>
      </c>
      <c r="AA61" s="46"/>
    </row>
    <row r="62" s="68" customFormat="1" ht="106.5" spans="1:29">
      <c r="A62" s="46">
        <v>52</v>
      </c>
      <c r="B62" s="46" t="s">
        <v>371</v>
      </c>
      <c r="C62" s="46" t="s">
        <v>382</v>
      </c>
      <c r="D62" s="46" t="s">
        <v>35</v>
      </c>
      <c r="E62" s="46" t="s">
        <v>39</v>
      </c>
      <c r="F62" s="46" t="s">
        <v>40</v>
      </c>
      <c r="G62" s="46" t="s">
        <v>383</v>
      </c>
      <c r="H62" s="47" t="s">
        <v>384</v>
      </c>
      <c r="I62" s="46" t="s">
        <v>393</v>
      </c>
      <c r="J62" s="46">
        <v>4.9</v>
      </c>
      <c r="K62" s="59">
        <f>SUM(L62,T62:V62)</f>
        <v>2980</v>
      </c>
      <c r="L62" s="59">
        <f>SUM(M62:S62)</f>
        <v>2980</v>
      </c>
      <c r="M62" s="59">
        <v>2980</v>
      </c>
      <c r="N62" s="59"/>
      <c r="O62" s="59"/>
      <c r="P62" s="59"/>
      <c r="Q62" s="46"/>
      <c r="R62" s="46"/>
      <c r="S62" s="46"/>
      <c r="T62" s="46"/>
      <c r="U62" s="46"/>
      <c r="V62" s="46"/>
      <c r="W62" s="46" t="s">
        <v>284</v>
      </c>
      <c r="X62" s="46" t="s">
        <v>1026</v>
      </c>
      <c r="Y62" s="46" t="s">
        <v>369</v>
      </c>
      <c r="Z62" s="46" t="s">
        <v>370</v>
      </c>
      <c r="AA62" s="46" t="s">
        <v>1027</v>
      </c>
      <c r="AB62" s="28"/>
      <c r="AC62" s="28"/>
    </row>
    <row r="63" s="26" customFormat="1" ht="35.5" spans="1:27">
      <c r="A63" s="43" t="s">
        <v>398</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177.5" spans="1:27">
      <c r="A64" s="46">
        <v>53</v>
      </c>
      <c r="B64" s="46" t="s">
        <v>381</v>
      </c>
      <c r="C64" s="46" t="s">
        <v>901</v>
      </c>
      <c r="D64" s="46" t="s">
        <v>35</v>
      </c>
      <c r="E64" s="46" t="s">
        <v>71</v>
      </c>
      <c r="F64" s="46" t="s">
        <v>401</v>
      </c>
      <c r="G64" s="46" t="s">
        <v>402</v>
      </c>
      <c r="H64" s="78" t="s">
        <v>1028</v>
      </c>
      <c r="I64" s="77" t="s">
        <v>421</v>
      </c>
      <c r="J64" s="77">
        <v>4</v>
      </c>
      <c r="K64" s="59">
        <f>SUM(L64,T64:V64)</f>
        <v>2000</v>
      </c>
      <c r="L64" s="59">
        <f>SUM(M64:S64)</f>
        <v>2000</v>
      </c>
      <c r="M64" s="59">
        <v>2000</v>
      </c>
      <c r="N64" s="81"/>
      <c r="O64" s="81"/>
      <c r="P64" s="81"/>
      <c r="Q64" s="83"/>
      <c r="R64" s="83"/>
      <c r="S64" s="83"/>
      <c r="T64" s="83"/>
      <c r="U64" s="83"/>
      <c r="V64" s="83"/>
      <c r="W64" s="46" t="s">
        <v>121</v>
      </c>
      <c r="X64" s="46" t="s">
        <v>122</v>
      </c>
      <c r="Y64" s="46" t="s">
        <v>80</v>
      </c>
      <c r="Z64" s="46" t="s">
        <v>81</v>
      </c>
      <c r="AA64" s="46"/>
    </row>
    <row r="65" s="28" customFormat="1" ht="106.5" spans="1:27">
      <c r="A65" s="46">
        <v>54</v>
      </c>
      <c r="B65" s="46" t="s">
        <v>405</v>
      </c>
      <c r="C65" s="46" t="s">
        <v>903</v>
      </c>
      <c r="D65" s="46" t="s">
        <v>35</v>
      </c>
      <c r="E65" s="46" t="s">
        <v>424</v>
      </c>
      <c r="F65" s="46" t="s">
        <v>40</v>
      </c>
      <c r="G65" s="46" t="s">
        <v>819</v>
      </c>
      <c r="H65" s="78" t="s">
        <v>1029</v>
      </c>
      <c r="I65" s="77" t="s">
        <v>426</v>
      </c>
      <c r="J65" s="77">
        <v>10</v>
      </c>
      <c r="K65" s="59">
        <f>SUM(L65,T65:V65)</f>
        <v>500</v>
      </c>
      <c r="L65" s="59">
        <f>SUM(M65:S65)</f>
        <v>500</v>
      </c>
      <c r="M65" s="59">
        <v>500</v>
      </c>
      <c r="N65" s="81"/>
      <c r="O65" s="81">
        <v>0</v>
      </c>
      <c r="P65" s="81">
        <v>0</v>
      </c>
      <c r="Q65" s="83">
        <v>0</v>
      </c>
      <c r="R65" s="83">
        <v>0</v>
      </c>
      <c r="S65" s="83">
        <v>0</v>
      </c>
      <c r="T65" s="83">
        <v>0</v>
      </c>
      <c r="U65" s="83">
        <v>0</v>
      </c>
      <c r="V65" s="83">
        <v>0</v>
      </c>
      <c r="W65" s="46" t="s">
        <v>121</v>
      </c>
      <c r="X65" s="46" t="s">
        <v>122</v>
      </c>
      <c r="Y65" s="46" t="s">
        <v>80</v>
      </c>
      <c r="Z65" s="46" t="s">
        <v>81</v>
      </c>
      <c r="AA65" s="46"/>
    </row>
    <row r="66" s="28" customFormat="1" ht="106.5" spans="1:27">
      <c r="A66" s="46">
        <v>55</v>
      </c>
      <c r="B66" s="46" t="s">
        <v>412</v>
      </c>
      <c r="C66" s="46" t="s">
        <v>905</v>
      </c>
      <c r="D66" s="46" t="s">
        <v>35</v>
      </c>
      <c r="E66" s="46" t="s">
        <v>424</v>
      </c>
      <c r="F66" s="46" t="s">
        <v>40</v>
      </c>
      <c r="G66" s="46" t="s">
        <v>819</v>
      </c>
      <c r="H66" s="78" t="s">
        <v>1030</v>
      </c>
      <c r="I66" s="77" t="s">
        <v>431</v>
      </c>
      <c r="J66" s="77">
        <v>1</v>
      </c>
      <c r="K66" s="59">
        <f>SUM(L66,T66:V66)</f>
        <v>200</v>
      </c>
      <c r="L66" s="59">
        <f>SUM(M66:S66)</f>
        <v>200</v>
      </c>
      <c r="M66" s="59">
        <v>200</v>
      </c>
      <c r="N66" s="81"/>
      <c r="O66" s="81"/>
      <c r="P66" s="81"/>
      <c r="Q66" s="94"/>
      <c r="R66" s="94"/>
      <c r="S66" s="94"/>
      <c r="T66" s="94"/>
      <c r="U66" s="94"/>
      <c r="V66" s="94"/>
      <c r="W66" s="46" t="s">
        <v>121</v>
      </c>
      <c r="X66" s="46" t="s">
        <v>122</v>
      </c>
      <c r="Y66" s="46" t="s">
        <v>80</v>
      </c>
      <c r="Z66" s="46" t="s">
        <v>81</v>
      </c>
      <c r="AA66" s="46"/>
    </row>
    <row r="67" s="27" customFormat="1" ht="106.5" spans="1:29">
      <c r="A67" s="46">
        <v>56</v>
      </c>
      <c r="B67" s="46" t="s">
        <v>418</v>
      </c>
      <c r="C67" s="46" t="s">
        <v>434</v>
      </c>
      <c r="D67" s="46" t="s">
        <v>35</v>
      </c>
      <c r="E67" s="46" t="s">
        <v>71</v>
      </c>
      <c r="F67" s="46" t="s">
        <v>40</v>
      </c>
      <c r="G67" s="46" t="s">
        <v>435</v>
      </c>
      <c r="H67" s="78" t="s">
        <v>436</v>
      </c>
      <c r="I67" s="77" t="s">
        <v>437</v>
      </c>
      <c r="J67" s="77">
        <v>1</v>
      </c>
      <c r="K67" s="59">
        <f>SUM(L67,T67:V67)</f>
        <v>395</v>
      </c>
      <c r="L67" s="59">
        <f>SUM(M67:S67)</f>
        <v>395</v>
      </c>
      <c r="M67" s="59">
        <v>395</v>
      </c>
      <c r="N67" s="81"/>
      <c r="O67" s="81"/>
      <c r="P67" s="81"/>
      <c r="Q67" s="94"/>
      <c r="R67" s="94"/>
      <c r="S67" s="94"/>
      <c r="T67" s="94"/>
      <c r="U67" s="94"/>
      <c r="V67" s="94"/>
      <c r="W67" s="46" t="s">
        <v>284</v>
      </c>
      <c r="X67" s="46" t="s">
        <v>1026</v>
      </c>
      <c r="Y67" s="46" t="s">
        <v>80</v>
      </c>
      <c r="Z67" s="46" t="s">
        <v>81</v>
      </c>
      <c r="AA67" s="46"/>
      <c r="AB67" s="28"/>
      <c r="AC67" s="28"/>
    </row>
    <row r="68" s="28" customFormat="1" ht="106.5" spans="1:27">
      <c r="A68" s="46">
        <v>57</v>
      </c>
      <c r="B68" s="46" t="s">
        <v>422</v>
      </c>
      <c r="C68" s="46" t="s">
        <v>448</v>
      </c>
      <c r="D68" s="46" t="s">
        <v>35</v>
      </c>
      <c r="E68" s="46" t="s">
        <v>424</v>
      </c>
      <c r="F68" s="46" t="s">
        <v>40</v>
      </c>
      <c r="G68" s="46" t="s">
        <v>819</v>
      </c>
      <c r="H68" s="78" t="s">
        <v>449</v>
      </c>
      <c r="I68" s="77" t="s">
        <v>450</v>
      </c>
      <c r="J68" s="77">
        <v>650</v>
      </c>
      <c r="K68" s="59">
        <f>SUM(L68,T68:V68)</f>
        <v>700</v>
      </c>
      <c r="L68" s="59">
        <f>SUM(M68:S68)</f>
        <v>700</v>
      </c>
      <c r="M68" s="59">
        <v>700</v>
      </c>
      <c r="N68" s="81"/>
      <c r="O68" s="81"/>
      <c r="P68" s="81"/>
      <c r="Q68" s="94"/>
      <c r="R68" s="94"/>
      <c r="S68" s="94"/>
      <c r="T68" s="94"/>
      <c r="U68" s="94"/>
      <c r="V68" s="94"/>
      <c r="W68" s="46" t="s">
        <v>121</v>
      </c>
      <c r="X68" s="46" t="s">
        <v>122</v>
      </c>
      <c r="Y68" s="46" t="s">
        <v>80</v>
      </c>
      <c r="Z68" s="46" t="s">
        <v>81</v>
      </c>
      <c r="AA68" s="46"/>
    </row>
    <row r="69" s="26" customFormat="1" ht="35.5" spans="1:27">
      <c r="A69" s="43" t="s">
        <v>452</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69" customFormat="1" ht="106.5" spans="1:29">
      <c r="A70" s="46">
        <v>58</v>
      </c>
      <c r="B70" s="46" t="s">
        <v>428</v>
      </c>
      <c r="C70" s="46" t="s">
        <v>454</v>
      </c>
      <c r="D70" s="46" t="s">
        <v>35</v>
      </c>
      <c r="E70" s="88" t="s">
        <v>455</v>
      </c>
      <c r="F70" s="88" t="s">
        <v>401</v>
      </c>
      <c r="G70" s="88" t="s">
        <v>456</v>
      </c>
      <c r="H70" s="78" t="s">
        <v>457</v>
      </c>
      <c r="I70" s="88" t="s">
        <v>164</v>
      </c>
      <c r="J70" s="88">
        <v>1</v>
      </c>
      <c r="K70" s="59">
        <f>SUM(L70,T70:V70)</f>
        <v>240</v>
      </c>
      <c r="L70" s="59">
        <f>SUM(M70:S70)</f>
        <v>240</v>
      </c>
      <c r="M70" s="88">
        <v>240</v>
      </c>
      <c r="N70" s="88"/>
      <c r="O70" s="88"/>
      <c r="P70" s="88"/>
      <c r="Q70" s="88"/>
      <c r="R70" s="88"/>
      <c r="S70" s="88"/>
      <c r="T70" s="88"/>
      <c r="U70" s="88"/>
      <c r="V70" s="88"/>
      <c r="W70" s="88" t="s">
        <v>242</v>
      </c>
      <c r="X70" s="46" t="s">
        <v>1006</v>
      </c>
      <c r="Y70" s="46" t="s">
        <v>863</v>
      </c>
      <c r="Z70" s="46" t="s">
        <v>864</v>
      </c>
      <c r="AA70" s="88"/>
      <c r="AB70" s="88"/>
      <c r="AC70" s="95"/>
    </row>
    <row r="71" s="28" customFormat="1" ht="150" customHeight="1" spans="1:27">
      <c r="A71" s="46">
        <v>60</v>
      </c>
      <c r="B71" s="46" t="s">
        <v>453</v>
      </c>
      <c r="C71" s="46" t="s">
        <v>482</v>
      </c>
      <c r="D71" s="46" t="s">
        <v>35</v>
      </c>
      <c r="E71" s="46" t="s">
        <v>455</v>
      </c>
      <c r="F71" s="46" t="s">
        <v>40</v>
      </c>
      <c r="G71" s="46" t="s">
        <v>483</v>
      </c>
      <c r="H71" s="47" t="s">
        <v>484</v>
      </c>
      <c r="I71" s="93" t="s">
        <v>393</v>
      </c>
      <c r="J71" s="93">
        <v>10000</v>
      </c>
      <c r="K71" s="59">
        <f t="shared" ref="K71:K77" si="20">SUM(L71,T71:V71)</f>
        <v>2000</v>
      </c>
      <c r="L71" s="59">
        <f t="shared" ref="L71:L77" si="21">SUM(M71:S71)</f>
        <v>2000</v>
      </c>
      <c r="M71" s="59">
        <v>2000</v>
      </c>
      <c r="N71" s="59"/>
      <c r="O71" s="59"/>
      <c r="P71" s="59"/>
      <c r="Q71" s="46"/>
      <c r="R71" s="46"/>
      <c r="S71" s="46"/>
      <c r="T71" s="46"/>
      <c r="U71" s="46"/>
      <c r="V71" s="46"/>
      <c r="W71" s="46" t="s">
        <v>252</v>
      </c>
      <c r="X71" s="46" t="s">
        <v>1010</v>
      </c>
      <c r="Y71" s="46" t="s">
        <v>465</v>
      </c>
      <c r="Z71" s="46" t="s">
        <v>466</v>
      </c>
      <c r="AA71" s="46"/>
    </row>
    <row r="72" s="28" customFormat="1" ht="157" customHeight="1" spans="1:27">
      <c r="A72" s="46">
        <v>61</v>
      </c>
      <c r="B72" s="46" t="s">
        <v>460</v>
      </c>
      <c r="C72" s="46" t="s">
        <v>488</v>
      </c>
      <c r="D72" s="46" t="s">
        <v>35</v>
      </c>
      <c r="E72" s="46" t="s">
        <v>455</v>
      </c>
      <c r="F72" s="46" t="s">
        <v>40</v>
      </c>
      <c r="G72" s="46" t="s">
        <v>483</v>
      </c>
      <c r="H72" s="47" t="s">
        <v>489</v>
      </c>
      <c r="I72" s="93" t="s">
        <v>393</v>
      </c>
      <c r="J72" s="93">
        <v>16000</v>
      </c>
      <c r="K72" s="59">
        <f t="shared" si="20"/>
        <v>2900</v>
      </c>
      <c r="L72" s="59">
        <f t="shared" si="21"/>
        <v>2900</v>
      </c>
      <c r="M72" s="59">
        <v>2900</v>
      </c>
      <c r="N72" s="59"/>
      <c r="O72" s="59"/>
      <c r="P72" s="59"/>
      <c r="Q72" s="46"/>
      <c r="R72" s="46"/>
      <c r="S72" s="46"/>
      <c r="T72" s="46"/>
      <c r="U72" s="46"/>
      <c r="V72" s="46"/>
      <c r="W72" s="46" t="s">
        <v>252</v>
      </c>
      <c r="X72" s="46" t="s">
        <v>1010</v>
      </c>
      <c r="Y72" s="46" t="s">
        <v>465</v>
      </c>
      <c r="Z72" s="46" t="s">
        <v>466</v>
      </c>
      <c r="AA72" s="46"/>
    </row>
    <row r="73" s="28" customFormat="1" ht="256" customHeight="1" spans="1:27">
      <c r="A73" s="46">
        <v>62</v>
      </c>
      <c r="B73" s="46" t="s">
        <v>467</v>
      </c>
      <c r="C73" s="46" t="s">
        <v>493</v>
      </c>
      <c r="D73" s="46" t="s">
        <v>35</v>
      </c>
      <c r="E73" s="46" t="s">
        <v>390</v>
      </c>
      <c r="F73" s="46" t="s">
        <v>40</v>
      </c>
      <c r="G73" s="46" t="s">
        <v>494</v>
      </c>
      <c r="H73" s="47" t="s">
        <v>1031</v>
      </c>
      <c r="I73" s="46" t="s">
        <v>393</v>
      </c>
      <c r="J73" s="46">
        <v>9600</v>
      </c>
      <c r="K73" s="59">
        <f t="shared" si="20"/>
        <v>790</v>
      </c>
      <c r="L73" s="59">
        <f t="shared" si="21"/>
        <v>790</v>
      </c>
      <c r="M73" s="59">
        <v>790</v>
      </c>
      <c r="N73" s="59"/>
      <c r="O73" s="59"/>
      <c r="P73" s="59"/>
      <c r="Q73" s="46"/>
      <c r="R73" s="46"/>
      <c r="S73" s="46"/>
      <c r="T73" s="46"/>
      <c r="U73" s="46"/>
      <c r="V73" s="46"/>
      <c r="W73" s="46" t="s">
        <v>247</v>
      </c>
      <c r="X73" s="46" t="s">
        <v>1009</v>
      </c>
      <c r="Y73" s="46" t="s">
        <v>396</v>
      </c>
      <c r="Z73" s="46" t="s">
        <v>397</v>
      </c>
      <c r="AA73" s="46"/>
    </row>
    <row r="74" s="27" customFormat="1" ht="192" customHeight="1" spans="1:29">
      <c r="A74" s="46">
        <v>63</v>
      </c>
      <c r="B74" s="46" t="s">
        <v>474</v>
      </c>
      <c r="C74" s="46" t="s">
        <v>499</v>
      </c>
      <c r="D74" s="46" t="s">
        <v>35</v>
      </c>
      <c r="E74" s="46" t="s">
        <v>907</v>
      </c>
      <c r="F74" s="46" t="s">
        <v>40</v>
      </c>
      <c r="G74" s="46" t="s">
        <v>500</v>
      </c>
      <c r="H74" s="47" t="s">
        <v>501</v>
      </c>
      <c r="I74" s="46" t="s">
        <v>43</v>
      </c>
      <c r="J74" s="46">
        <v>200</v>
      </c>
      <c r="K74" s="59">
        <f t="shared" si="20"/>
        <v>295</v>
      </c>
      <c r="L74" s="59">
        <f t="shared" si="21"/>
        <v>295</v>
      </c>
      <c r="M74" s="59">
        <v>295</v>
      </c>
      <c r="N74" s="59"/>
      <c r="O74" s="59"/>
      <c r="P74" s="59"/>
      <c r="Q74" s="46"/>
      <c r="R74" s="46"/>
      <c r="S74" s="46"/>
      <c r="T74" s="46"/>
      <c r="U74" s="46"/>
      <c r="V74" s="46"/>
      <c r="W74" s="46" t="s">
        <v>247</v>
      </c>
      <c r="X74" s="46" t="s">
        <v>1009</v>
      </c>
      <c r="Y74" s="46" t="s">
        <v>369</v>
      </c>
      <c r="Z74" s="46" t="s">
        <v>370</v>
      </c>
      <c r="AA74" s="46" t="s">
        <v>1032</v>
      </c>
      <c r="AB74" s="28"/>
      <c r="AC74" s="28"/>
    </row>
    <row r="75" s="28" customFormat="1" ht="281" customHeight="1" spans="1:27">
      <c r="A75" s="46">
        <v>64</v>
      </c>
      <c r="B75" s="46" t="s">
        <v>481</v>
      </c>
      <c r="C75" s="46" t="s">
        <v>505</v>
      </c>
      <c r="D75" s="46" t="s">
        <v>35</v>
      </c>
      <c r="E75" s="46" t="s">
        <v>469</v>
      </c>
      <c r="F75" s="46" t="s">
        <v>40</v>
      </c>
      <c r="G75" s="46" t="s">
        <v>506</v>
      </c>
      <c r="H75" s="47" t="s">
        <v>507</v>
      </c>
      <c r="I75" s="46" t="s">
        <v>164</v>
      </c>
      <c r="J75" s="46">
        <v>1</v>
      </c>
      <c r="K75" s="59">
        <f t="shared" si="20"/>
        <v>270</v>
      </c>
      <c r="L75" s="59">
        <f t="shared" si="21"/>
        <v>270</v>
      </c>
      <c r="M75" s="59">
        <v>270</v>
      </c>
      <c r="N75" s="59"/>
      <c r="O75" s="59"/>
      <c r="P75" s="59"/>
      <c r="Q75" s="46"/>
      <c r="R75" s="46"/>
      <c r="S75" s="46"/>
      <c r="T75" s="46"/>
      <c r="U75" s="46"/>
      <c r="V75" s="46"/>
      <c r="W75" s="46" t="s">
        <v>192</v>
      </c>
      <c r="X75" s="46" t="s">
        <v>987</v>
      </c>
      <c r="Y75" s="46" t="s">
        <v>465</v>
      </c>
      <c r="Z75" s="46" t="s">
        <v>466</v>
      </c>
      <c r="AA75" s="46"/>
    </row>
    <row r="76" s="28" customFormat="1" ht="142" spans="1:27">
      <c r="A76" s="46">
        <v>65</v>
      </c>
      <c r="B76" s="46" t="s">
        <v>492</v>
      </c>
      <c r="C76" s="46" t="s">
        <v>517</v>
      </c>
      <c r="D76" s="46" t="s">
        <v>35</v>
      </c>
      <c r="E76" s="46" t="s">
        <v>476</v>
      </c>
      <c r="F76" s="46" t="s">
        <v>40</v>
      </c>
      <c r="G76" s="46" t="s">
        <v>518</v>
      </c>
      <c r="H76" s="47" t="s">
        <v>519</v>
      </c>
      <c r="I76" s="46" t="s">
        <v>164</v>
      </c>
      <c r="J76" s="46">
        <v>2</v>
      </c>
      <c r="K76" s="59">
        <f t="shared" si="20"/>
        <v>240</v>
      </c>
      <c r="L76" s="59">
        <f t="shared" si="21"/>
        <v>240</v>
      </c>
      <c r="M76" s="59">
        <v>240</v>
      </c>
      <c r="N76" s="59"/>
      <c r="O76" s="59"/>
      <c r="P76" s="59"/>
      <c r="Q76" s="46"/>
      <c r="R76" s="46"/>
      <c r="S76" s="46"/>
      <c r="T76" s="46"/>
      <c r="U76" s="46"/>
      <c r="V76" s="46"/>
      <c r="W76" s="46" t="s">
        <v>257</v>
      </c>
      <c r="X76" s="46" t="s">
        <v>1013</v>
      </c>
      <c r="Y76" s="46" t="s">
        <v>465</v>
      </c>
      <c r="Z76" s="46" t="s">
        <v>466</v>
      </c>
      <c r="AA76" s="46"/>
    </row>
    <row r="77" s="28" customFormat="1" ht="148" customHeight="1" spans="1:27">
      <c r="A77" s="46">
        <v>66</v>
      </c>
      <c r="B77" s="46" t="s">
        <v>498</v>
      </c>
      <c r="C77" s="46" t="s">
        <v>523</v>
      </c>
      <c r="D77" s="46" t="s">
        <v>35</v>
      </c>
      <c r="E77" s="46" t="s">
        <v>469</v>
      </c>
      <c r="F77" s="89" t="s">
        <v>40</v>
      </c>
      <c r="G77" s="77" t="s">
        <v>524</v>
      </c>
      <c r="H77" s="78" t="s">
        <v>908</v>
      </c>
      <c r="I77" s="77" t="s">
        <v>393</v>
      </c>
      <c r="J77" s="77">
        <v>5000</v>
      </c>
      <c r="K77" s="59">
        <f t="shared" si="20"/>
        <v>395</v>
      </c>
      <c r="L77" s="59">
        <f t="shared" si="21"/>
        <v>395</v>
      </c>
      <c r="M77" s="59">
        <v>395</v>
      </c>
      <c r="N77" s="80"/>
      <c r="O77" s="80"/>
      <c r="P77" s="80"/>
      <c r="Q77" s="77"/>
      <c r="R77" s="77"/>
      <c r="S77" s="77"/>
      <c r="T77" s="77"/>
      <c r="U77" s="89"/>
      <c r="V77" s="89"/>
      <c r="W77" s="77" t="s">
        <v>267</v>
      </c>
      <c r="X77" s="46" t="s">
        <v>1016</v>
      </c>
      <c r="Y77" s="46" t="s">
        <v>465</v>
      </c>
      <c r="Z77" s="46" t="s">
        <v>466</v>
      </c>
      <c r="AA77" s="46"/>
    </row>
    <row r="78" s="28" customFormat="1" ht="106.5" spans="1:27">
      <c r="A78" s="46">
        <v>67</v>
      </c>
      <c r="B78" s="46" t="s">
        <v>510</v>
      </c>
      <c r="C78" s="46" t="s">
        <v>533</v>
      </c>
      <c r="D78" s="46" t="s">
        <v>35</v>
      </c>
      <c r="E78" s="46" t="s">
        <v>39</v>
      </c>
      <c r="F78" s="89" t="s">
        <v>40</v>
      </c>
      <c r="G78" s="77" t="s">
        <v>373</v>
      </c>
      <c r="H78" s="78" t="s">
        <v>1033</v>
      </c>
      <c r="I78" s="77" t="s">
        <v>43</v>
      </c>
      <c r="J78" s="77">
        <v>46</v>
      </c>
      <c r="K78" s="59">
        <f t="shared" ref="K78:K97" si="22">SUM(L78,T78:V78)</f>
        <v>390</v>
      </c>
      <c r="L78" s="59">
        <f t="shared" ref="L78:L97" si="23">SUM(M78:S78)</f>
        <v>390</v>
      </c>
      <c r="M78" s="59"/>
      <c r="N78" s="80"/>
      <c r="O78" s="80"/>
      <c r="P78" s="80">
        <v>390</v>
      </c>
      <c r="Q78" s="77"/>
      <c r="R78" s="77"/>
      <c r="S78" s="77"/>
      <c r="T78" s="77"/>
      <c r="U78" s="89"/>
      <c r="V78" s="89"/>
      <c r="W78" s="77" t="s">
        <v>222</v>
      </c>
      <c r="X78" s="46" t="s">
        <v>1000</v>
      </c>
      <c r="Y78" s="46" t="s">
        <v>536</v>
      </c>
      <c r="Z78" s="46" t="s">
        <v>537</v>
      </c>
      <c r="AA78" s="46"/>
    </row>
    <row r="79" s="28" customFormat="1" ht="71" spans="1:27">
      <c r="A79" s="46">
        <v>68</v>
      </c>
      <c r="B79" s="46" t="s">
        <v>516</v>
      </c>
      <c r="C79" s="46" t="s">
        <v>539</v>
      </c>
      <c r="D79" s="46" t="s">
        <v>35</v>
      </c>
      <c r="E79" s="46" t="s">
        <v>39</v>
      </c>
      <c r="F79" s="89" t="s">
        <v>40</v>
      </c>
      <c r="G79" s="77" t="s">
        <v>540</v>
      </c>
      <c r="H79" s="78" t="s">
        <v>541</v>
      </c>
      <c r="I79" s="77" t="s">
        <v>164</v>
      </c>
      <c r="J79" s="77">
        <v>1</v>
      </c>
      <c r="K79" s="59">
        <f t="shared" si="22"/>
        <v>120</v>
      </c>
      <c r="L79" s="59">
        <f t="shared" si="23"/>
        <v>120</v>
      </c>
      <c r="M79" s="59"/>
      <c r="N79" s="80"/>
      <c r="O79" s="80"/>
      <c r="P79" s="80">
        <v>120</v>
      </c>
      <c r="Q79" s="77"/>
      <c r="R79" s="77"/>
      <c r="S79" s="77"/>
      <c r="T79" s="77"/>
      <c r="U79" s="89"/>
      <c r="V79" s="89"/>
      <c r="W79" s="77" t="s">
        <v>192</v>
      </c>
      <c r="X79" s="46" t="s">
        <v>987</v>
      </c>
      <c r="Y79" s="46" t="s">
        <v>536</v>
      </c>
      <c r="Z79" s="46" t="s">
        <v>537</v>
      </c>
      <c r="AA79" s="46"/>
    </row>
    <row r="80" s="27" customFormat="1" ht="142" spans="1:29">
      <c r="A80" s="46">
        <v>69</v>
      </c>
      <c r="B80" s="46" t="s">
        <v>522</v>
      </c>
      <c r="C80" s="46" t="s">
        <v>543</v>
      </c>
      <c r="D80" s="46" t="s">
        <v>35</v>
      </c>
      <c r="E80" s="46" t="s">
        <v>71</v>
      </c>
      <c r="F80" s="46" t="s">
        <v>40</v>
      </c>
      <c r="G80" s="46" t="s">
        <v>402</v>
      </c>
      <c r="H80" s="47" t="s">
        <v>1034</v>
      </c>
      <c r="I80" s="77" t="s">
        <v>43</v>
      </c>
      <c r="J80" s="46">
        <v>46</v>
      </c>
      <c r="K80" s="59">
        <f t="shared" si="22"/>
        <v>395</v>
      </c>
      <c r="L80" s="59">
        <f t="shared" si="23"/>
        <v>395</v>
      </c>
      <c r="M80" s="59"/>
      <c r="N80" s="80">
        <v>395</v>
      </c>
      <c r="O80" s="80"/>
      <c r="P80" s="80"/>
      <c r="Q80" s="77"/>
      <c r="R80" s="77"/>
      <c r="S80" s="77"/>
      <c r="T80" s="77"/>
      <c r="U80" s="89"/>
      <c r="V80" s="89"/>
      <c r="W80" s="46" t="s">
        <v>855</v>
      </c>
      <c r="X80" s="46" t="s">
        <v>856</v>
      </c>
      <c r="Y80" s="46" t="s">
        <v>80</v>
      </c>
      <c r="Z80" s="46" t="s">
        <v>81</v>
      </c>
      <c r="AA80" s="46"/>
      <c r="AB80" s="28"/>
      <c r="AC80" s="28"/>
    </row>
    <row r="81" s="28" customFormat="1" ht="106.5" spans="1:27">
      <c r="A81" s="46">
        <v>70</v>
      </c>
      <c r="B81" s="46" t="s">
        <v>528</v>
      </c>
      <c r="C81" s="46" t="s">
        <v>559</v>
      </c>
      <c r="D81" s="46" t="s">
        <v>35</v>
      </c>
      <c r="E81" s="46" t="s">
        <v>71</v>
      </c>
      <c r="F81" s="46" t="s">
        <v>40</v>
      </c>
      <c r="G81" s="46" t="s">
        <v>402</v>
      </c>
      <c r="H81" s="47" t="s">
        <v>1035</v>
      </c>
      <c r="I81" s="77" t="s">
        <v>561</v>
      </c>
      <c r="J81" s="46">
        <v>21</v>
      </c>
      <c r="K81" s="59">
        <f t="shared" si="22"/>
        <v>1700</v>
      </c>
      <c r="L81" s="59">
        <f t="shared" si="23"/>
        <v>1700</v>
      </c>
      <c r="M81" s="59"/>
      <c r="N81" s="59">
        <v>1700</v>
      </c>
      <c r="O81" s="59"/>
      <c r="P81" s="59"/>
      <c r="Q81" s="46"/>
      <c r="R81" s="46"/>
      <c r="S81" s="46"/>
      <c r="T81" s="46"/>
      <c r="U81" s="46"/>
      <c r="V81" s="46"/>
      <c r="W81" s="77" t="s">
        <v>121</v>
      </c>
      <c r="X81" s="46" t="s">
        <v>122</v>
      </c>
      <c r="Y81" s="77" t="s">
        <v>727</v>
      </c>
      <c r="Z81" s="46" t="s">
        <v>728</v>
      </c>
      <c r="AA81" s="46"/>
    </row>
    <row r="82" s="28" customFormat="1" ht="106.5" spans="1:27">
      <c r="A82" s="46">
        <v>71</v>
      </c>
      <c r="B82" s="46" t="s">
        <v>532</v>
      </c>
      <c r="C82" s="46" t="s">
        <v>564</v>
      </c>
      <c r="D82" s="46" t="s">
        <v>35</v>
      </c>
      <c r="E82" s="46" t="s">
        <v>39</v>
      </c>
      <c r="F82" s="46" t="s">
        <v>40</v>
      </c>
      <c r="G82" s="46" t="s">
        <v>192</v>
      </c>
      <c r="H82" s="47" t="s">
        <v>1036</v>
      </c>
      <c r="I82" s="46" t="s">
        <v>561</v>
      </c>
      <c r="J82" s="46">
        <v>4</v>
      </c>
      <c r="K82" s="59">
        <f t="shared" si="22"/>
        <v>300</v>
      </c>
      <c r="L82" s="59">
        <f t="shared" si="23"/>
        <v>300</v>
      </c>
      <c r="M82" s="59"/>
      <c r="N82" s="59"/>
      <c r="O82" s="59"/>
      <c r="P82" s="59">
        <v>300</v>
      </c>
      <c r="Q82" s="46"/>
      <c r="R82" s="46"/>
      <c r="S82" s="46"/>
      <c r="T82" s="46"/>
      <c r="U82" s="46"/>
      <c r="V82" s="46"/>
      <c r="W82" s="46" t="s">
        <v>192</v>
      </c>
      <c r="X82" s="46" t="s">
        <v>987</v>
      </c>
      <c r="Y82" s="46" t="s">
        <v>727</v>
      </c>
      <c r="Z82" s="46" t="s">
        <v>728</v>
      </c>
      <c r="AA82" s="46"/>
    </row>
    <row r="83" s="28" customFormat="1" ht="71" spans="1:27">
      <c r="A83" s="46">
        <v>72</v>
      </c>
      <c r="B83" s="46" t="s">
        <v>538</v>
      </c>
      <c r="C83" s="46" t="s">
        <v>568</v>
      </c>
      <c r="D83" s="46" t="s">
        <v>35</v>
      </c>
      <c r="E83" s="46" t="s">
        <v>39</v>
      </c>
      <c r="F83" s="46" t="s">
        <v>40</v>
      </c>
      <c r="G83" s="46" t="s">
        <v>1037</v>
      </c>
      <c r="H83" s="47" t="s">
        <v>1038</v>
      </c>
      <c r="I83" s="46" t="s">
        <v>561</v>
      </c>
      <c r="J83" s="46">
        <v>5.5</v>
      </c>
      <c r="K83" s="59">
        <f t="shared" si="22"/>
        <v>395</v>
      </c>
      <c r="L83" s="59">
        <f t="shared" si="23"/>
        <v>395</v>
      </c>
      <c r="M83" s="59"/>
      <c r="N83" s="59">
        <v>395</v>
      </c>
      <c r="O83" s="59"/>
      <c r="P83" s="59"/>
      <c r="Q83" s="46"/>
      <c r="R83" s="46"/>
      <c r="S83" s="46"/>
      <c r="T83" s="46"/>
      <c r="U83" s="46"/>
      <c r="V83" s="46"/>
      <c r="W83" s="46" t="s">
        <v>197</v>
      </c>
      <c r="X83" s="46" t="s">
        <v>990</v>
      </c>
      <c r="Y83" s="46" t="s">
        <v>727</v>
      </c>
      <c r="Z83" s="46" t="s">
        <v>728</v>
      </c>
      <c r="AA83" s="46"/>
    </row>
    <row r="84" s="28" customFormat="1" ht="71" spans="1:27">
      <c r="A84" s="46">
        <v>73</v>
      </c>
      <c r="B84" s="46" t="s">
        <v>542</v>
      </c>
      <c r="C84" s="46" t="s">
        <v>572</v>
      </c>
      <c r="D84" s="46" t="s">
        <v>35</v>
      </c>
      <c r="E84" s="46" t="s">
        <v>39</v>
      </c>
      <c r="F84" s="46" t="s">
        <v>40</v>
      </c>
      <c r="G84" s="46" t="s">
        <v>202</v>
      </c>
      <c r="H84" s="47" t="s">
        <v>1039</v>
      </c>
      <c r="I84" s="46" t="s">
        <v>561</v>
      </c>
      <c r="J84" s="46">
        <v>16</v>
      </c>
      <c r="K84" s="59">
        <f t="shared" si="22"/>
        <v>1200</v>
      </c>
      <c r="L84" s="59">
        <f t="shared" si="23"/>
        <v>1200</v>
      </c>
      <c r="M84" s="59"/>
      <c r="N84" s="59">
        <f>J84*75</f>
        <v>1200</v>
      </c>
      <c r="O84" s="59"/>
      <c r="P84" s="59"/>
      <c r="Q84" s="46"/>
      <c r="R84" s="46"/>
      <c r="S84" s="46"/>
      <c r="T84" s="46"/>
      <c r="U84" s="46"/>
      <c r="V84" s="46"/>
      <c r="W84" s="46" t="s">
        <v>202</v>
      </c>
      <c r="X84" s="46" t="s">
        <v>993</v>
      </c>
      <c r="Y84" s="46" t="s">
        <v>727</v>
      </c>
      <c r="Z84" s="46" t="s">
        <v>728</v>
      </c>
      <c r="AA84" s="46"/>
    </row>
    <row r="85" s="28" customFormat="1" ht="71" spans="1:27">
      <c r="A85" s="46">
        <v>74</v>
      </c>
      <c r="B85" s="46" t="s">
        <v>545</v>
      </c>
      <c r="C85" s="46" t="s">
        <v>576</v>
      </c>
      <c r="D85" s="46" t="s">
        <v>35</v>
      </c>
      <c r="E85" s="46" t="s">
        <v>39</v>
      </c>
      <c r="F85" s="46" t="s">
        <v>40</v>
      </c>
      <c r="G85" s="46" t="s">
        <v>207</v>
      </c>
      <c r="H85" s="47" t="s">
        <v>1040</v>
      </c>
      <c r="I85" s="46" t="s">
        <v>561</v>
      </c>
      <c r="J85" s="46">
        <v>12</v>
      </c>
      <c r="K85" s="59">
        <f t="shared" si="22"/>
        <v>900</v>
      </c>
      <c r="L85" s="59">
        <f t="shared" si="23"/>
        <v>900</v>
      </c>
      <c r="M85" s="59"/>
      <c r="N85" s="59">
        <f>J85*75</f>
        <v>900</v>
      </c>
      <c r="O85" s="59"/>
      <c r="P85" s="59"/>
      <c r="Q85" s="46"/>
      <c r="R85" s="46"/>
      <c r="S85" s="46"/>
      <c r="T85" s="46"/>
      <c r="U85" s="46"/>
      <c r="V85" s="46"/>
      <c r="W85" s="46" t="s">
        <v>207</v>
      </c>
      <c r="X85" s="46" t="s">
        <v>995</v>
      </c>
      <c r="Y85" s="46" t="s">
        <v>727</v>
      </c>
      <c r="Z85" s="46" t="s">
        <v>728</v>
      </c>
      <c r="AA85" s="46"/>
    </row>
    <row r="86" s="28" customFormat="1" ht="121" customHeight="1" spans="1:27">
      <c r="A86" s="46">
        <v>75</v>
      </c>
      <c r="B86" s="46" t="s">
        <v>553</v>
      </c>
      <c r="C86" s="46" t="s">
        <v>580</v>
      </c>
      <c r="D86" s="46" t="s">
        <v>35</v>
      </c>
      <c r="E86" s="46" t="s">
        <v>39</v>
      </c>
      <c r="F86" s="46" t="s">
        <v>40</v>
      </c>
      <c r="G86" s="46" t="s">
        <v>212</v>
      </c>
      <c r="H86" s="47" t="s">
        <v>1041</v>
      </c>
      <c r="I86" s="46" t="s">
        <v>561</v>
      </c>
      <c r="J86" s="46">
        <v>12.264</v>
      </c>
      <c r="K86" s="59">
        <f t="shared" si="22"/>
        <v>919.8</v>
      </c>
      <c r="L86" s="59">
        <f t="shared" si="23"/>
        <v>919.8</v>
      </c>
      <c r="M86" s="59"/>
      <c r="N86" s="59"/>
      <c r="O86" s="59"/>
      <c r="P86" s="59">
        <f>J86*75</f>
        <v>919.8</v>
      </c>
      <c r="Q86" s="46"/>
      <c r="R86" s="46"/>
      <c r="S86" s="46"/>
      <c r="T86" s="46"/>
      <c r="U86" s="46"/>
      <c r="V86" s="46"/>
      <c r="W86" s="46" t="s">
        <v>212</v>
      </c>
      <c r="X86" s="46" t="s">
        <v>998</v>
      </c>
      <c r="Y86" s="46" t="s">
        <v>727</v>
      </c>
      <c r="Z86" s="46" t="s">
        <v>728</v>
      </c>
      <c r="AA86" s="46"/>
    </row>
    <row r="87" s="28" customFormat="1" ht="106.5" spans="1:27">
      <c r="A87" s="46">
        <v>76</v>
      </c>
      <c r="B87" s="46" t="s">
        <v>558</v>
      </c>
      <c r="C87" s="46" t="s">
        <v>584</v>
      </c>
      <c r="D87" s="46" t="s">
        <v>35</v>
      </c>
      <c r="E87" s="46" t="s">
        <v>39</v>
      </c>
      <c r="F87" s="46" t="s">
        <v>40</v>
      </c>
      <c r="G87" s="46" t="s">
        <v>222</v>
      </c>
      <c r="H87" s="47" t="s">
        <v>585</v>
      </c>
      <c r="I87" s="46" t="s">
        <v>561</v>
      </c>
      <c r="J87" s="46">
        <v>5.5</v>
      </c>
      <c r="K87" s="59">
        <f t="shared" si="22"/>
        <v>412.5</v>
      </c>
      <c r="L87" s="59">
        <f t="shared" si="23"/>
        <v>412.5</v>
      </c>
      <c r="M87" s="59"/>
      <c r="N87" s="59"/>
      <c r="O87" s="59"/>
      <c r="P87" s="59">
        <f>J87*75</f>
        <v>412.5</v>
      </c>
      <c r="Q87" s="46"/>
      <c r="R87" s="46"/>
      <c r="S87" s="46"/>
      <c r="T87" s="46"/>
      <c r="U87" s="46"/>
      <c r="V87" s="46"/>
      <c r="W87" s="46" t="s">
        <v>222</v>
      </c>
      <c r="X87" s="46" t="s">
        <v>1000</v>
      </c>
      <c r="Y87" s="46" t="s">
        <v>727</v>
      </c>
      <c r="Z87" s="46" t="s">
        <v>728</v>
      </c>
      <c r="AA87" s="46"/>
    </row>
    <row r="88" s="28" customFormat="1" ht="71" spans="1:27">
      <c r="A88" s="46">
        <v>77</v>
      </c>
      <c r="B88" s="46" t="s">
        <v>563</v>
      </c>
      <c r="C88" s="46" t="s">
        <v>588</v>
      </c>
      <c r="D88" s="46" t="s">
        <v>35</v>
      </c>
      <c r="E88" s="46" t="s">
        <v>39</v>
      </c>
      <c r="F88" s="46" t="s">
        <v>40</v>
      </c>
      <c r="G88" s="46" t="s">
        <v>589</v>
      </c>
      <c r="H88" s="47" t="s">
        <v>1042</v>
      </c>
      <c r="I88" s="46" t="s">
        <v>561</v>
      </c>
      <c r="J88" s="46">
        <v>9</v>
      </c>
      <c r="K88" s="59">
        <f t="shared" si="22"/>
        <v>675</v>
      </c>
      <c r="L88" s="59">
        <f t="shared" si="23"/>
        <v>675</v>
      </c>
      <c r="M88" s="59"/>
      <c r="N88" s="59">
        <f>J88*75</f>
        <v>675</v>
      </c>
      <c r="O88" s="59"/>
      <c r="P88" s="59"/>
      <c r="Q88" s="46"/>
      <c r="R88" s="46"/>
      <c r="S88" s="46"/>
      <c r="T88" s="46"/>
      <c r="U88" s="46"/>
      <c r="V88" s="46"/>
      <c r="W88" s="46" t="s">
        <v>589</v>
      </c>
      <c r="X88" s="46" t="s">
        <v>1043</v>
      </c>
      <c r="Y88" s="46" t="s">
        <v>727</v>
      </c>
      <c r="Z88" s="46" t="s">
        <v>728</v>
      </c>
      <c r="AA88" s="46"/>
    </row>
    <row r="89" s="28" customFormat="1" ht="128" customHeight="1" spans="1:27">
      <c r="A89" s="46">
        <v>78</v>
      </c>
      <c r="B89" s="46" t="s">
        <v>567</v>
      </c>
      <c r="C89" s="46" t="s">
        <v>593</v>
      </c>
      <c r="D89" s="46" t="s">
        <v>35</v>
      </c>
      <c r="E89" s="46" t="s">
        <v>39</v>
      </c>
      <c r="F89" s="46" t="s">
        <v>40</v>
      </c>
      <c r="G89" s="46" t="s">
        <v>227</v>
      </c>
      <c r="H89" s="47" t="s">
        <v>1044</v>
      </c>
      <c r="I89" s="46" t="s">
        <v>561</v>
      </c>
      <c r="J89" s="46">
        <v>5.2</v>
      </c>
      <c r="K89" s="59">
        <f t="shared" si="22"/>
        <v>390</v>
      </c>
      <c r="L89" s="59">
        <f t="shared" si="23"/>
        <v>390</v>
      </c>
      <c r="M89" s="59"/>
      <c r="N89" s="59">
        <f>J89*75</f>
        <v>390</v>
      </c>
      <c r="O89" s="59"/>
      <c r="P89" s="59"/>
      <c r="Q89" s="46"/>
      <c r="R89" s="46"/>
      <c r="S89" s="46"/>
      <c r="T89" s="46"/>
      <c r="U89" s="46"/>
      <c r="V89" s="46"/>
      <c r="W89" s="46" t="s">
        <v>227</v>
      </c>
      <c r="X89" s="46" t="s">
        <v>1001</v>
      </c>
      <c r="Y89" s="46" t="s">
        <v>727</v>
      </c>
      <c r="Z89" s="46" t="s">
        <v>728</v>
      </c>
      <c r="AA89" s="46"/>
    </row>
    <row r="90" s="28" customFormat="1" ht="71" spans="1:27">
      <c r="A90" s="46">
        <v>79</v>
      </c>
      <c r="B90" s="46" t="s">
        <v>571</v>
      </c>
      <c r="C90" s="46" t="s">
        <v>597</v>
      </c>
      <c r="D90" s="46" t="s">
        <v>35</v>
      </c>
      <c r="E90" s="46" t="s">
        <v>39</v>
      </c>
      <c r="F90" s="46" t="s">
        <v>40</v>
      </c>
      <c r="G90" s="46" t="s">
        <v>237</v>
      </c>
      <c r="H90" s="47" t="s">
        <v>1045</v>
      </c>
      <c r="I90" s="46" t="s">
        <v>561</v>
      </c>
      <c r="J90" s="46">
        <v>15</v>
      </c>
      <c r="K90" s="59">
        <f t="shared" si="22"/>
        <v>1125</v>
      </c>
      <c r="L90" s="59">
        <f t="shared" si="23"/>
        <v>1125</v>
      </c>
      <c r="M90" s="59">
        <f>J90*75</f>
        <v>1125</v>
      </c>
      <c r="N90" s="59"/>
      <c r="O90" s="59"/>
      <c r="P90" s="59"/>
      <c r="Q90" s="46"/>
      <c r="R90" s="46"/>
      <c r="S90" s="46"/>
      <c r="T90" s="46"/>
      <c r="U90" s="46"/>
      <c r="V90" s="46"/>
      <c r="W90" s="46" t="s">
        <v>237</v>
      </c>
      <c r="X90" s="46" t="s">
        <v>1004</v>
      </c>
      <c r="Y90" s="46" t="s">
        <v>727</v>
      </c>
      <c r="Z90" s="46" t="s">
        <v>728</v>
      </c>
      <c r="AA90" s="46"/>
    </row>
    <row r="91" s="28" customFormat="1" ht="71" spans="1:27">
      <c r="A91" s="46">
        <v>80</v>
      </c>
      <c r="B91" s="46" t="s">
        <v>575</v>
      </c>
      <c r="C91" s="46" t="s">
        <v>601</v>
      </c>
      <c r="D91" s="46" t="s">
        <v>35</v>
      </c>
      <c r="E91" s="46" t="s">
        <v>39</v>
      </c>
      <c r="F91" s="46" t="s">
        <v>40</v>
      </c>
      <c r="G91" s="46" t="s">
        <v>242</v>
      </c>
      <c r="H91" s="47" t="s">
        <v>1046</v>
      </c>
      <c r="I91" s="46" t="s">
        <v>561</v>
      </c>
      <c r="J91" s="46">
        <v>20</v>
      </c>
      <c r="K91" s="59">
        <f t="shared" si="22"/>
        <v>1500</v>
      </c>
      <c r="L91" s="59">
        <f t="shared" si="23"/>
        <v>1500</v>
      </c>
      <c r="M91" s="59">
        <f>J91*75</f>
        <v>1500</v>
      </c>
      <c r="N91" s="59"/>
      <c r="O91" s="59"/>
      <c r="P91" s="59"/>
      <c r="Q91" s="46"/>
      <c r="R91" s="46"/>
      <c r="S91" s="46"/>
      <c r="T91" s="46"/>
      <c r="U91" s="46"/>
      <c r="V91" s="46"/>
      <c r="W91" s="46" t="s">
        <v>242</v>
      </c>
      <c r="X91" s="46" t="s">
        <v>1006</v>
      </c>
      <c r="Y91" s="46" t="s">
        <v>727</v>
      </c>
      <c r="Z91" s="46" t="s">
        <v>728</v>
      </c>
      <c r="AA91" s="46"/>
    </row>
    <row r="92" s="28" customFormat="1" ht="71" spans="1:27">
      <c r="A92" s="46">
        <v>81</v>
      </c>
      <c r="B92" s="46" t="s">
        <v>579</v>
      </c>
      <c r="C92" s="46" t="s">
        <v>604</v>
      </c>
      <c r="D92" s="46" t="s">
        <v>35</v>
      </c>
      <c r="E92" s="46" t="s">
        <v>39</v>
      </c>
      <c r="F92" s="46" t="s">
        <v>40</v>
      </c>
      <c r="G92" s="46" t="s">
        <v>247</v>
      </c>
      <c r="H92" s="47" t="s">
        <v>1047</v>
      </c>
      <c r="I92" s="46" t="s">
        <v>561</v>
      </c>
      <c r="J92" s="46">
        <v>23.1</v>
      </c>
      <c r="K92" s="59">
        <f t="shared" si="22"/>
        <v>1732.5</v>
      </c>
      <c r="L92" s="59">
        <f t="shared" si="23"/>
        <v>1732.5</v>
      </c>
      <c r="M92" s="59"/>
      <c r="N92" s="59">
        <v>1732.5</v>
      </c>
      <c r="O92" s="59"/>
      <c r="P92" s="59"/>
      <c r="Q92" s="46"/>
      <c r="R92" s="46"/>
      <c r="S92" s="46"/>
      <c r="T92" s="46"/>
      <c r="U92" s="46"/>
      <c r="V92" s="46"/>
      <c r="W92" s="46" t="s">
        <v>247</v>
      </c>
      <c r="X92" s="46" t="s">
        <v>1009</v>
      </c>
      <c r="Y92" s="46" t="s">
        <v>727</v>
      </c>
      <c r="Z92" s="46" t="s">
        <v>728</v>
      </c>
      <c r="AA92" s="46"/>
    </row>
    <row r="93" s="28" customFormat="1" ht="71" spans="1:27">
      <c r="A93" s="46">
        <v>82</v>
      </c>
      <c r="B93" s="46" t="s">
        <v>587</v>
      </c>
      <c r="C93" s="46" t="s">
        <v>613</v>
      </c>
      <c r="D93" s="46" t="s">
        <v>35</v>
      </c>
      <c r="E93" s="46" t="s">
        <v>39</v>
      </c>
      <c r="F93" s="46" t="s">
        <v>40</v>
      </c>
      <c r="G93" s="46" t="s">
        <v>252</v>
      </c>
      <c r="H93" s="47" t="s">
        <v>1048</v>
      </c>
      <c r="I93" s="46" t="s">
        <v>561</v>
      </c>
      <c r="J93" s="46">
        <v>5.3</v>
      </c>
      <c r="K93" s="59">
        <f t="shared" si="22"/>
        <v>397.5</v>
      </c>
      <c r="L93" s="59">
        <f t="shared" si="23"/>
        <v>397.5</v>
      </c>
      <c r="M93" s="59">
        <f>J93*75</f>
        <v>397.5</v>
      </c>
      <c r="N93" s="59"/>
      <c r="O93" s="59"/>
      <c r="P93" s="59"/>
      <c r="Q93" s="46"/>
      <c r="R93" s="46"/>
      <c r="S93" s="46"/>
      <c r="T93" s="46"/>
      <c r="U93" s="46"/>
      <c r="V93" s="46"/>
      <c r="W93" s="46" t="s">
        <v>252</v>
      </c>
      <c r="X93" s="46" t="s">
        <v>1010</v>
      </c>
      <c r="Y93" s="46" t="s">
        <v>727</v>
      </c>
      <c r="Z93" s="46" t="s">
        <v>728</v>
      </c>
      <c r="AA93" s="46"/>
    </row>
    <row r="94" s="28" customFormat="1" ht="71" spans="1:27">
      <c r="A94" s="46">
        <v>83</v>
      </c>
      <c r="B94" s="46" t="s">
        <v>592</v>
      </c>
      <c r="C94" s="46" t="s">
        <v>615</v>
      </c>
      <c r="D94" s="46" t="s">
        <v>35</v>
      </c>
      <c r="E94" s="46" t="s">
        <v>39</v>
      </c>
      <c r="F94" s="46" t="s">
        <v>40</v>
      </c>
      <c r="G94" s="46" t="s">
        <v>257</v>
      </c>
      <c r="H94" s="47" t="s">
        <v>1049</v>
      </c>
      <c r="I94" s="46" t="s">
        <v>561</v>
      </c>
      <c r="J94" s="46">
        <v>5</v>
      </c>
      <c r="K94" s="59">
        <f t="shared" si="22"/>
        <v>375</v>
      </c>
      <c r="L94" s="59">
        <f t="shared" si="23"/>
        <v>375</v>
      </c>
      <c r="M94" s="59">
        <f>J94*75</f>
        <v>375</v>
      </c>
      <c r="N94" s="59"/>
      <c r="O94" s="59"/>
      <c r="P94" s="59"/>
      <c r="Q94" s="46"/>
      <c r="R94" s="46"/>
      <c r="S94" s="46"/>
      <c r="T94" s="46"/>
      <c r="U94" s="46"/>
      <c r="V94" s="46"/>
      <c r="W94" s="46" t="s">
        <v>257</v>
      </c>
      <c r="X94" s="46" t="s">
        <v>1013</v>
      </c>
      <c r="Y94" s="46" t="s">
        <v>727</v>
      </c>
      <c r="Z94" s="46" t="s">
        <v>728</v>
      </c>
      <c r="AA94" s="46"/>
    </row>
    <row r="95" s="28" customFormat="1" ht="71" spans="1:27">
      <c r="A95" s="46">
        <v>84</v>
      </c>
      <c r="B95" s="46" t="s">
        <v>596</v>
      </c>
      <c r="C95" s="46" t="s">
        <v>619</v>
      </c>
      <c r="D95" s="46" t="s">
        <v>35</v>
      </c>
      <c r="E95" s="46" t="s">
        <v>39</v>
      </c>
      <c r="F95" s="46" t="s">
        <v>40</v>
      </c>
      <c r="G95" s="46" t="s">
        <v>262</v>
      </c>
      <c r="H95" s="47" t="s">
        <v>1045</v>
      </c>
      <c r="I95" s="46" t="s">
        <v>561</v>
      </c>
      <c r="J95" s="46">
        <v>15</v>
      </c>
      <c r="K95" s="59">
        <f t="shared" si="22"/>
        <v>1125</v>
      </c>
      <c r="L95" s="59">
        <f t="shared" si="23"/>
        <v>1125</v>
      </c>
      <c r="M95" s="59">
        <f>J95*75</f>
        <v>1125</v>
      </c>
      <c r="N95" s="59"/>
      <c r="O95" s="59"/>
      <c r="P95" s="59"/>
      <c r="Q95" s="46"/>
      <c r="R95" s="46"/>
      <c r="S95" s="46"/>
      <c r="T95" s="46"/>
      <c r="U95" s="46"/>
      <c r="V95" s="46"/>
      <c r="W95" s="46" t="s">
        <v>262</v>
      </c>
      <c r="X95" s="46" t="s">
        <v>1014</v>
      </c>
      <c r="Y95" s="46" t="s">
        <v>727</v>
      </c>
      <c r="Z95" s="46" t="s">
        <v>728</v>
      </c>
      <c r="AA95" s="46"/>
    </row>
    <row r="96" s="28" customFormat="1" ht="71" spans="1:27">
      <c r="A96" s="46">
        <v>85</v>
      </c>
      <c r="B96" s="46" t="s">
        <v>600</v>
      </c>
      <c r="C96" s="46" t="s">
        <v>621</v>
      </c>
      <c r="D96" s="46" t="s">
        <v>35</v>
      </c>
      <c r="E96" s="46" t="s">
        <v>39</v>
      </c>
      <c r="F96" s="46" t="s">
        <v>40</v>
      </c>
      <c r="G96" s="46" t="s">
        <v>267</v>
      </c>
      <c r="H96" s="47" t="s">
        <v>1050</v>
      </c>
      <c r="I96" s="46" t="s">
        <v>561</v>
      </c>
      <c r="J96" s="46">
        <v>6.3</v>
      </c>
      <c r="K96" s="59">
        <f t="shared" si="22"/>
        <v>441</v>
      </c>
      <c r="L96" s="59">
        <f t="shared" si="23"/>
        <v>441</v>
      </c>
      <c r="M96" s="59"/>
      <c r="N96" s="59"/>
      <c r="O96" s="59"/>
      <c r="P96" s="59">
        <v>441</v>
      </c>
      <c r="Q96" s="46"/>
      <c r="R96" s="46"/>
      <c r="S96" s="46"/>
      <c r="T96" s="46"/>
      <c r="U96" s="46"/>
      <c r="V96" s="46"/>
      <c r="W96" s="46" t="s">
        <v>267</v>
      </c>
      <c r="X96" s="46" t="s">
        <v>1016</v>
      </c>
      <c r="Y96" s="46" t="s">
        <v>727</v>
      </c>
      <c r="Z96" s="46" t="s">
        <v>728</v>
      </c>
      <c r="AA96" s="46"/>
    </row>
    <row r="97" s="28" customFormat="1" ht="106.5" spans="1:27">
      <c r="A97" s="46">
        <v>86</v>
      </c>
      <c r="B97" s="46" t="s">
        <v>603</v>
      </c>
      <c r="C97" s="46" t="s">
        <v>625</v>
      </c>
      <c r="D97" s="46" t="s">
        <v>35</v>
      </c>
      <c r="E97" s="46" t="s">
        <v>39</v>
      </c>
      <c r="F97" s="46" t="s">
        <v>40</v>
      </c>
      <c r="G97" s="46" t="s">
        <v>1051</v>
      </c>
      <c r="H97" s="47" t="s">
        <v>1052</v>
      </c>
      <c r="I97" s="46" t="s">
        <v>561</v>
      </c>
      <c r="J97" s="46">
        <v>10</v>
      </c>
      <c r="K97" s="59">
        <f t="shared" si="22"/>
        <v>750</v>
      </c>
      <c r="L97" s="59">
        <f t="shared" si="23"/>
        <v>750</v>
      </c>
      <c r="M97" s="59">
        <v>750</v>
      </c>
      <c r="N97" s="59"/>
      <c r="O97" s="59"/>
      <c r="P97" s="59"/>
      <c r="Q97" s="46"/>
      <c r="R97" s="46"/>
      <c r="S97" s="46"/>
      <c r="T97" s="46"/>
      <c r="U97" s="46"/>
      <c r="V97" s="46"/>
      <c r="W97" s="46" t="s">
        <v>232</v>
      </c>
      <c r="X97" s="46" t="s">
        <v>1003</v>
      </c>
      <c r="Y97" s="46" t="s">
        <v>727</v>
      </c>
      <c r="Z97" s="46" t="s">
        <v>728</v>
      </c>
      <c r="AA97" s="46"/>
    </row>
    <row r="98" s="26" customFormat="1" ht="35.5" spans="1:27">
      <c r="A98" s="45" t="s">
        <v>628</v>
      </c>
      <c r="B98" s="45" t="s">
        <v>629</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0" customFormat="1" ht="133" customHeight="1" spans="1:27">
      <c r="A99" s="46">
        <v>87</v>
      </c>
      <c r="B99" s="46" t="s">
        <v>607</v>
      </c>
      <c r="C99" s="46" t="s">
        <v>631</v>
      </c>
      <c r="D99" s="46" t="s">
        <v>632</v>
      </c>
      <c r="E99" s="46" t="s">
        <v>633</v>
      </c>
      <c r="F99" s="77" t="s">
        <v>40</v>
      </c>
      <c r="G99" s="46" t="s">
        <v>819</v>
      </c>
      <c r="H99" s="47" t="s">
        <v>634</v>
      </c>
      <c r="I99" s="77" t="s">
        <v>421</v>
      </c>
      <c r="J99" s="77">
        <v>1579</v>
      </c>
      <c r="K99" s="59">
        <f t="shared" ref="K99:K105" si="25">SUM(L99,T99:V99)</f>
        <v>1894.8</v>
      </c>
      <c r="L99" s="59">
        <f t="shared" ref="L99:L105" si="26">SUM(M99:S99)</f>
        <v>1894.8</v>
      </c>
      <c r="M99" s="59"/>
      <c r="N99" s="80">
        <v>1894.8</v>
      </c>
      <c r="O99" s="80"/>
      <c r="P99" s="80"/>
      <c r="Q99" s="77"/>
      <c r="R99" s="77"/>
      <c r="S99" s="77"/>
      <c r="T99" s="77"/>
      <c r="U99" s="77"/>
      <c r="V99" s="77"/>
      <c r="W99" s="77" t="s">
        <v>636</v>
      </c>
      <c r="X99" s="77" t="s">
        <v>637</v>
      </c>
      <c r="Y99" s="77" t="s">
        <v>636</v>
      </c>
      <c r="Z99" s="77" t="s">
        <v>637</v>
      </c>
      <c r="AA99" s="46"/>
    </row>
    <row r="100" s="70" customFormat="1" ht="133" customHeight="1" spans="1:27">
      <c r="A100" s="46">
        <v>88</v>
      </c>
      <c r="B100" s="46" t="s">
        <v>612</v>
      </c>
      <c r="C100" s="46" t="s">
        <v>639</v>
      </c>
      <c r="D100" s="46" t="s">
        <v>632</v>
      </c>
      <c r="E100" s="46" t="s">
        <v>640</v>
      </c>
      <c r="F100" s="77" t="s">
        <v>40</v>
      </c>
      <c r="G100" s="46" t="s">
        <v>819</v>
      </c>
      <c r="H100" s="47" t="s">
        <v>641</v>
      </c>
      <c r="I100" s="46" t="s">
        <v>642</v>
      </c>
      <c r="J100" s="77">
        <v>1216</v>
      </c>
      <c r="K100" s="59">
        <f t="shared" si="25"/>
        <v>1276.8</v>
      </c>
      <c r="L100" s="59">
        <f t="shared" si="26"/>
        <v>1276.8</v>
      </c>
      <c r="M100" s="59"/>
      <c r="N100" s="80">
        <v>1276.8</v>
      </c>
      <c r="O100" s="80"/>
      <c r="P100" s="80"/>
      <c r="Q100" s="77"/>
      <c r="R100" s="77"/>
      <c r="S100" s="77"/>
      <c r="T100" s="77"/>
      <c r="U100" s="77"/>
      <c r="V100" s="77"/>
      <c r="W100" s="77" t="s">
        <v>644</v>
      </c>
      <c r="X100" s="46" t="s">
        <v>645</v>
      </c>
      <c r="Y100" s="77" t="s">
        <v>644</v>
      </c>
      <c r="Z100" s="46" t="s">
        <v>645</v>
      </c>
      <c r="AA100" s="46"/>
    </row>
    <row r="101" s="28" customFormat="1" ht="133" customHeight="1" spans="1:27">
      <c r="A101" s="46">
        <v>89</v>
      </c>
      <c r="B101" s="46" t="s">
        <v>614</v>
      </c>
      <c r="C101" s="46" t="s">
        <v>647</v>
      </c>
      <c r="D101" s="46" t="s">
        <v>632</v>
      </c>
      <c r="E101" s="46" t="s">
        <v>648</v>
      </c>
      <c r="F101" s="46" t="s">
        <v>40</v>
      </c>
      <c r="G101" s="46" t="s">
        <v>819</v>
      </c>
      <c r="H101" s="47" t="s">
        <v>1053</v>
      </c>
      <c r="I101" s="46" t="s">
        <v>642</v>
      </c>
      <c r="J101" s="46">
        <v>2250</v>
      </c>
      <c r="K101" s="59">
        <f t="shared" si="25"/>
        <v>450</v>
      </c>
      <c r="L101" s="59">
        <f t="shared" si="26"/>
        <v>450</v>
      </c>
      <c r="M101" s="59">
        <v>450</v>
      </c>
      <c r="N101" s="59"/>
      <c r="O101" s="59"/>
      <c r="P101" s="59"/>
      <c r="Q101" s="46"/>
      <c r="R101" s="46"/>
      <c r="S101" s="46"/>
      <c r="T101" s="46"/>
      <c r="U101" s="46"/>
      <c r="V101" s="46"/>
      <c r="W101" s="46" t="s">
        <v>644</v>
      </c>
      <c r="X101" s="46" t="s">
        <v>645</v>
      </c>
      <c r="Y101" s="46" t="s">
        <v>644</v>
      </c>
      <c r="Z101" s="46" t="s">
        <v>645</v>
      </c>
      <c r="AA101" s="46"/>
    </row>
    <row r="102" s="28" customFormat="1" ht="133" customHeight="1" spans="1:27">
      <c r="A102" s="46">
        <v>90</v>
      </c>
      <c r="B102" s="46" t="s">
        <v>618</v>
      </c>
      <c r="C102" s="46" t="s">
        <v>652</v>
      </c>
      <c r="D102" s="46" t="s">
        <v>632</v>
      </c>
      <c r="E102" s="46" t="s">
        <v>648</v>
      </c>
      <c r="F102" s="46" t="s">
        <v>40</v>
      </c>
      <c r="G102" s="46" t="s">
        <v>819</v>
      </c>
      <c r="H102" s="47" t="s">
        <v>1054</v>
      </c>
      <c r="I102" s="46" t="s">
        <v>642</v>
      </c>
      <c r="J102" s="46">
        <v>15033</v>
      </c>
      <c r="K102" s="59">
        <f t="shared" si="25"/>
        <v>1503.3</v>
      </c>
      <c r="L102" s="59">
        <f t="shared" si="26"/>
        <v>1503.3</v>
      </c>
      <c r="M102" s="59"/>
      <c r="N102" s="59">
        <v>1503.3</v>
      </c>
      <c r="O102" s="59"/>
      <c r="P102" s="59"/>
      <c r="Q102" s="46"/>
      <c r="R102" s="46"/>
      <c r="S102" s="46"/>
      <c r="T102" s="46"/>
      <c r="U102" s="46"/>
      <c r="V102" s="46"/>
      <c r="W102" s="46" t="s">
        <v>644</v>
      </c>
      <c r="X102" s="46" t="s">
        <v>645</v>
      </c>
      <c r="Y102" s="46" t="s">
        <v>644</v>
      </c>
      <c r="Z102" s="46" t="s">
        <v>645</v>
      </c>
      <c r="AA102" s="46"/>
    </row>
    <row r="103" s="28" customFormat="1" ht="133" customHeight="1" spans="1:27">
      <c r="A103" s="46">
        <v>91</v>
      </c>
      <c r="B103" s="46" t="s">
        <v>620</v>
      </c>
      <c r="C103" s="46" t="s">
        <v>656</v>
      </c>
      <c r="D103" s="46" t="s">
        <v>632</v>
      </c>
      <c r="E103" s="46" t="s">
        <v>648</v>
      </c>
      <c r="F103" s="46" t="s">
        <v>40</v>
      </c>
      <c r="G103" s="46" t="s">
        <v>819</v>
      </c>
      <c r="H103" s="47" t="s">
        <v>1055</v>
      </c>
      <c r="I103" s="46" t="s">
        <v>642</v>
      </c>
      <c r="J103" s="46">
        <v>3210</v>
      </c>
      <c r="K103" s="59">
        <f t="shared" si="25"/>
        <v>64.2</v>
      </c>
      <c r="L103" s="59">
        <f t="shared" si="26"/>
        <v>0</v>
      </c>
      <c r="M103" s="59"/>
      <c r="N103" s="59"/>
      <c r="O103" s="59"/>
      <c r="P103" s="59"/>
      <c r="Q103" s="46"/>
      <c r="R103" s="46"/>
      <c r="S103" s="46"/>
      <c r="T103" s="46"/>
      <c r="U103" s="59">
        <v>64.2</v>
      </c>
      <c r="V103" s="46"/>
      <c r="W103" s="46" t="s">
        <v>644</v>
      </c>
      <c r="X103" s="46" t="s">
        <v>645</v>
      </c>
      <c r="Y103" s="46" t="s">
        <v>644</v>
      </c>
      <c r="Z103" s="46" t="s">
        <v>645</v>
      </c>
      <c r="AA103" s="46"/>
    </row>
    <row r="104" s="28" customFormat="1" ht="133" customHeight="1" spans="1:27">
      <c r="A104" s="46">
        <v>92</v>
      </c>
      <c r="B104" s="46" t="s">
        <v>624</v>
      </c>
      <c r="C104" s="46" t="s">
        <v>660</v>
      </c>
      <c r="D104" s="46" t="s">
        <v>632</v>
      </c>
      <c r="E104" s="46" t="s">
        <v>661</v>
      </c>
      <c r="F104" s="46" t="s">
        <v>40</v>
      </c>
      <c r="G104" s="46" t="s">
        <v>819</v>
      </c>
      <c r="H104" s="47" t="s">
        <v>1056</v>
      </c>
      <c r="I104" s="46" t="s">
        <v>187</v>
      </c>
      <c r="J104" s="46">
        <v>561</v>
      </c>
      <c r="K104" s="59">
        <f t="shared" si="25"/>
        <v>112.2</v>
      </c>
      <c r="L104" s="59">
        <f t="shared" si="26"/>
        <v>112.2</v>
      </c>
      <c r="M104" s="59"/>
      <c r="N104" s="59">
        <v>112.2</v>
      </c>
      <c r="O104" s="59"/>
      <c r="P104" s="59"/>
      <c r="Q104" s="46"/>
      <c r="R104" s="46"/>
      <c r="S104" s="46"/>
      <c r="T104" s="46"/>
      <c r="U104" s="46"/>
      <c r="V104" s="46"/>
      <c r="W104" s="46" t="s">
        <v>644</v>
      </c>
      <c r="X104" s="46" t="s">
        <v>645</v>
      </c>
      <c r="Y104" s="46" t="s">
        <v>644</v>
      </c>
      <c r="Z104" s="46" t="s">
        <v>645</v>
      </c>
      <c r="AA104" s="46"/>
    </row>
    <row r="105" s="28" customFormat="1" ht="133" customHeight="1" spans="1:27">
      <c r="A105" s="46">
        <v>93</v>
      </c>
      <c r="B105" s="46" t="s">
        <v>630</v>
      </c>
      <c r="C105" s="46" t="s">
        <v>665</v>
      </c>
      <c r="D105" s="46" t="s">
        <v>632</v>
      </c>
      <c r="E105" s="46" t="s">
        <v>661</v>
      </c>
      <c r="F105" s="46" t="s">
        <v>40</v>
      </c>
      <c r="G105" s="46" t="s">
        <v>819</v>
      </c>
      <c r="H105" s="47" t="s">
        <v>1057</v>
      </c>
      <c r="I105" s="46" t="s">
        <v>187</v>
      </c>
      <c r="J105" s="46">
        <v>276</v>
      </c>
      <c r="K105" s="59">
        <f t="shared" si="25"/>
        <v>27.6</v>
      </c>
      <c r="L105" s="59">
        <f t="shared" si="26"/>
        <v>27.6</v>
      </c>
      <c r="M105" s="59"/>
      <c r="N105" s="59">
        <v>27.6</v>
      </c>
      <c r="O105" s="59"/>
      <c r="P105" s="59"/>
      <c r="Q105" s="46"/>
      <c r="R105" s="46"/>
      <c r="S105" s="46"/>
      <c r="T105" s="46"/>
      <c r="U105" s="46"/>
      <c r="V105" s="46"/>
      <c r="W105" s="46" t="s">
        <v>644</v>
      </c>
      <c r="X105" s="46" t="s">
        <v>645</v>
      </c>
      <c r="Y105" s="46" t="s">
        <v>644</v>
      </c>
      <c r="Z105" s="46" t="s">
        <v>645</v>
      </c>
      <c r="AA105" s="46"/>
    </row>
    <row r="106" s="26" customFormat="1" ht="35.5" spans="1:27">
      <c r="A106" s="45" t="s">
        <v>668</v>
      </c>
      <c r="B106" s="45" t="s">
        <v>669</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5.5" spans="1:27">
      <c r="A107" s="43" t="s">
        <v>924</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19.5" spans="1:27">
      <c r="A108" s="46">
        <v>94</v>
      </c>
      <c r="B108" s="46" t="s">
        <v>638</v>
      </c>
      <c r="C108" s="46" t="s">
        <v>925</v>
      </c>
      <c r="D108" s="46" t="s">
        <v>669</v>
      </c>
      <c r="E108" s="46" t="s">
        <v>697</v>
      </c>
      <c r="F108" s="46" t="s">
        <v>40</v>
      </c>
      <c r="G108" s="46" t="s">
        <v>414</v>
      </c>
      <c r="H108" s="47" t="s">
        <v>926</v>
      </c>
      <c r="I108" s="46" t="s">
        <v>43</v>
      </c>
      <c r="J108" s="46">
        <v>320</v>
      </c>
      <c r="K108" s="59">
        <f>SUM(L108,T108:V108)</f>
        <v>2000</v>
      </c>
      <c r="L108" s="59">
        <f>SUM(M108:S108)</f>
        <v>1000</v>
      </c>
      <c r="M108" s="59"/>
      <c r="N108" s="59">
        <v>1000</v>
      </c>
      <c r="O108" s="59"/>
      <c r="P108" s="59"/>
      <c r="Q108" s="46"/>
      <c r="R108" s="46"/>
      <c r="S108" s="46"/>
      <c r="T108" s="46">
        <v>1000</v>
      </c>
      <c r="U108" s="46" t="s">
        <v>197</v>
      </c>
      <c r="V108" s="46"/>
      <c r="W108" s="46" t="s">
        <v>247</v>
      </c>
      <c r="X108" s="46" t="s">
        <v>1009</v>
      </c>
      <c r="Y108" s="46" t="s">
        <v>700</v>
      </c>
      <c r="Z108" s="87" t="s">
        <v>701</v>
      </c>
      <c r="AA108" s="46"/>
    </row>
    <row r="109" s="28" customFormat="1" ht="285" customHeight="1" spans="1:27">
      <c r="A109" s="46">
        <v>95</v>
      </c>
      <c r="B109" s="46" t="s">
        <v>646</v>
      </c>
      <c r="C109" s="46" t="s">
        <v>927</v>
      </c>
      <c r="D109" s="46" t="s">
        <v>669</v>
      </c>
      <c r="E109" s="46" t="s">
        <v>697</v>
      </c>
      <c r="F109" s="46" t="s">
        <v>40</v>
      </c>
      <c r="G109" s="46" t="s">
        <v>442</v>
      </c>
      <c r="H109" s="47" t="s">
        <v>929</v>
      </c>
      <c r="I109" s="46" t="s">
        <v>43</v>
      </c>
      <c r="J109" s="46">
        <v>170</v>
      </c>
      <c r="K109" s="59">
        <f>SUM(L109,T109:V109)</f>
        <v>2870</v>
      </c>
      <c r="L109" s="59">
        <f>SUM(M109:S109)</f>
        <v>1870</v>
      </c>
      <c r="M109" s="59"/>
      <c r="N109" s="59">
        <v>1870</v>
      </c>
      <c r="O109" s="59"/>
      <c r="P109" s="59"/>
      <c r="Q109" s="46"/>
      <c r="R109" s="46"/>
      <c r="S109" s="46"/>
      <c r="T109" s="46">
        <v>1000</v>
      </c>
      <c r="U109" s="46" t="s">
        <v>212</v>
      </c>
      <c r="V109" s="46"/>
      <c r="W109" s="46" t="s">
        <v>212</v>
      </c>
      <c r="X109" s="46" t="s">
        <v>998</v>
      </c>
      <c r="Y109" s="46" t="s">
        <v>700</v>
      </c>
      <c r="Z109" s="87" t="s">
        <v>701</v>
      </c>
      <c r="AA109" s="46"/>
    </row>
    <row r="110" s="26" customFormat="1" ht="35.5" spans="1:27">
      <c r="A110" s="43" t="s">
        <v>930</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651</v>
      </c>
      <c r="C111" s="46" t="s">
        <v>931</v>
      </c>
      <c r="D111" s="46" t="s">
        <v>669</v>
      </c>
      <c r="E111" s="46" t="s">
        <v>673</v>
      </c>
      <c r="F111" s="46" t="s">
        <v>40</v>
      </c>
      <c r="G111" s="46" t="s">
        <v>932</v>
      </c>
      <c r="H111" s="78" t="s">
        <v>933</v>
      </c>
      <c r="I111" s="46" t="s">
        <v>393</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477</v>
      </c>
      <c r="X111" s="46" t="s">
        <v>1058</v>
      </c>
      <c r="Y111" s="46" t="s">
        <v>636</v>
      </c>
      <c r="Z111" s="46" t="s">
        <v>637</v>
      </c>
      <c r="AA111" s="46"/>
    </row>
    <row r="112" s="28" customFormat="1" ht="147" customHeight="1" spans="1:27">
      <c r="A112" s="46">
        <v>97</v>
      </c>
      <c r="B112" s="46" t="s">
        <v>659</v>
      </c>
      <c r="C112" s="46" t="s">
        <v>934</v>
      </c>
      <c r="D112" s="46" t="s">
        <v>669</v>
      </c>
      <c r="E112" s="46" t="s">
        <v>673</v>
      </c>
      <c r="F112" s="46" t="s">
        <v>40</v>
      </c>
      <c r="G112" s="46" t="s">
        <v>935</v>
      </c>
      <c r="H112" s="78" t="s">
        <v>936</v>
      </c>
      <c r="I112" s="46" t="s">
        <v>393</v>
      </c>
      <c r="J112" s="46">
        <v>14000</v>
      </c>
      <c r="K112" s="59">
        <f t="shared" si="30"/>
        <v>240</v>
      </c>
      <c r="L112" s="59">
        <f t="shared" si="31"/>
        <v>240</v>
      </c>
      <c r="M112" s="59">
        <v>240</v>
      </c>
      <c r="N112" s="59"/>
      <c r="O112" s="59"/>
      <c r="P112" s="59"/>
      <c r="Q112" s="46"/>
      <c r="R112" s="46"/>
      <c r="S112" s="46"/>
      <c r="T112" s="46"/>
      <c r="U112" s="46"/>
      <c r="V112" s="46"/>
      <c r="W112" s="46" t="s">
        <v>247</v>
      </c>
      <c r="X112" s="46" t="s">
        <v>1009</v>
      </c>
      <c r="Y112" s="46" t="s">
        <v>636</v>
      </c>
      <c r="Z112" s="46" t="s">
        <v>637</v>
      </c>
      <c r="AA112" s="46"/>
    </row>
    <row r="113" s="28" customFormat="1" ht="133" customHeight="1" spans="1:27">
      <c r="A113" s="46">
        <v>98</v>
      </c>
      <c r="B113" s="46" t="s">
        <v>664</v>
      </c>
      <c r="C113" s="46" t="s">
        <v>678</v>
      </c>
      <c r="D113" s="46" t="s">
        <v>669</v>
      </c>
      <c r="E113" s="46" t="s">
        <v>673</v>
      </c>
      <c r="F113" s="46" t="s">
        <v>40</v>
      </c>
      <c r="G113" s="46" t="s">
        <v>679</v>
      </c>
      <c r="H113" s="78" t="s">
        <v>680</v>
      </c>
      <c r="I113" s="46" t="s">
        <v>561</v>
      </c>
      <c r="J113" s="46">
        <v>5.5</v>
      </c>
      <c r="K113" s="59">
        <f t="shared" si="30"/>
        <v>395</v>
      </c>
      <c r="L113" s="59">
        <f t="shared" si="31"/>
        <v>395</v>
      </c>
      <c r="M113" s="59"/>
      <c r="N113" s="59"/>
      <c r="O113" s="59"/>
      <c r="P113" s="59">
        <v>395</v>
      </c>
      <c r="Q113" s="46"/>
      <c r="R113" s="46"/>
      <c r="S113" s="46"/>
      <c r="T113" s="46"/>
      <c r="U113" s="46"/>
      <c r="V113" s="46"/>
      <c r="W113" s="46" t="s">
        <v>222</v>
      </c>
      <c r="X113" s="46" t="s">
        <v>1000</v>
      </c>
      <c r="Y113" s="46" t="s">
        <v>636</v>
      </c>
      <c r="Z113" s="46" t="s">
        <v>637</v>
      </c>
      <c r="AA113" s="46"/>
    </row>
    <row r="114" s="28" customFormat="1" ht="133" customHeight="1" spans="1:27">
      <c r="A114" s="46"/>
      <c r="B114" s="46" t="s">
        <v>806</v>
      </c>
      <c r="C114" s="46" t="s">
        <v>683</v>
      </c>
      <c r="D114" s="46" t="s">
        <v>669</v>
      </c>
      <c r="E114" s="46" t="s">
        <v>673</v>
      </c>
      <c r="F114" s="46" t="s">
        <v>40</v>
      </c>
      <c r="G114" s="46" t="s">
        <v>684</v>
      </c>
      <c r="H114" s="78" t="s">
        <v>685</v>
      </c>
      <c r="I114" s="46" t="s">
        <v>561</v>
      </c>
      <c r="J114" s="46">
        <v>5.3</v>
      </c>
      <c r="K114" s="59">
        <f t="shared" si="30"/>
        <v>360</v>
      </c>
      <c r="L114" s="59">
        <f t="shared" si="31"/>
        <v>360</v>
      </c>
      <c r="M114" s="59">
        <v>360</v>
      </c>
      <c r="N114" s="59"/>
      <c r="O114" s="59"/>
      <c r="P114" s="59"/>
      <c r="Q114" s="46"/>
      <c r="R114" s="46"/>
      <c r="S114" s="46"/>
      <c r="T114" s="46"/>
      <c r="U114" s="46"/>
      <c r="V114" s="46"/>
      <c r="W114" s="46" t="s">
        <v>237</v>
      </c>
      <c r="X114" s="46" t="s">
        <v>1004</v>
      </c>
      <c r="Y114" s="46" t="s">
        <v>636</v>
      </c>
      <c r="Z114" s="46" t="s">
        <v>637</v>
      </c>
      <c r="AA114" s="46"/>
    </row>
    <row r="115" s="28" customFormat="1" ht="118" customHeight="1" spans="1:27">
      <c r="A115" s="46">
        <v>99</v>
      </c>
      <c r="B115" s="46" t="s">
        <v>671</v>
      </c>
      <c r="C115" s="46" t="s">
        <v>688</v>
      </c>
      <c r="D115" s="46" t="s">
        <v>669</v>
      </c>
      <c r="E115" s="46" t="s">
        <v>673</v>
      </c>
      <c r="F115" s="46" t="s">
        <v>40</v>
      </c>
      <c r="G115" s="46" t="s">
        <v>192</v>
      </c>
      <c r="H115" s="78" t="s">
        <v>689</v>
      </c>
      <c r="I115" s="46" t="s">
        <v>164</v>
      </c>
      <c r="J115" s="46">
        <v>3</v>
      </c>
      <c r="K115" s="59">
        <f t="shared" si="30"/>
        <v>80</v>
      </c>
      <c r="L115" s="59">
        <f t="shared" si="31"/>
        <v>80</v>
      </c>
      <c r="M115" s="59"/>
      <c r="N115" s="59"/>
      <c r="O115" s="59"/>
      <c r="P115" s="59">
        <v>80</v>
      </c>
      <c r="Q115" s="46"/>
      <c r="R115" s="46"/>
      <c r="S115" s="46"/>
      <c r="T115" s="46"/>
      <c r="U115" s="46"/>
      <c r="V115" s="46"/>
      <c r="W115" s="46" t="s">
        <v>192</v>
      </c>
      <c r="X115" s="46" t="s">
        <v>987</v>
      </c>
      <c r="Y115" s="46" t="s">
        <v>636</v>
      </c>
      <c r="Z115" s="46" t="s">
        <v>637</v>
      </c>
      <c r="AA115" s="46"/>
    </row>
    <row r="116" s="27" customFormat="1" ht="147" customHeight="1" spans="1:29">
      <c r="A116" s="46">
        <v>100</v>
      </c>
      <c r="B116" s="46" t="s">
        <v>677</v>
      </c>
      <c r="C116" s="46" t="s">
        <v>692</v>
      </c>
      <c r="D116" s="46" t="s">
        <v>669</v>
      </c>
      <c r="E116" s="46" t="s">
        <v>673</v>
      </c>
      <c r="F116" s="46" t="s">
        <v>40</v>
      </c>
      <c r="G116" s="46" t="s">
        <v>693</v>
      </c>
      <c r="H116" s="78" t="s">
        <v>694</v>
      </c>
      <c r="I116" s="46" t="s">
        <v>164</v>
      </c>
      <c r="J116" s="46">
        <v>2</v>
      </c>
      <c r="K116" s="59">
        <f t="shared" si="30"/>
        <v>387</v>
      </c>
      <c r="L116" s="59">
        <f t="shared" si="31"/>
        <v>387</v>
      </c>
      <c r="M116" s="59"/>
      <c r="N116" s="59"/>
      <c r="O116" s="59"/>
      <c r="P116" s="59">
        <v>387</v>
      </c>
      <c r="Q116" s="46"/>
      <c r="R116" s="46"/>
      <c r="S116" s="46"/>
      <c r="T116" s="46"/>
      <c r="U116" s="46"/>
      <c r="V116" s="46"/>
      <c r="W116" s="46" t="s">
        <v>192</v>
      </c>
      <c r="X116" s="46" t="s">
        <v>987</v>
      </c>
      <c r="Y116" s="46" t="s">
        <v>727</v>
      </c>
      <c r="Z116" s="46" t="s">
        <v>728</v>
      </c>
      <c r="AA116" s="46"/>
      <c r="AB116" s="28"/>
      <c r="AC116" s="28"/>
    </row>
    <row r="117" s="28" customFormat="1" ht="222" customHeight="1" spans="1:27">
      <c r="A117" s="46">
        <v>101</v>
      </c>
      <c r="B117" s="46" t="s">
        <v>682</v>
      </c>
      <c r="C117" s="46" t="s">
        <v>706</v>
      </c>
      <c r="D117" s="46" t="s">
        <v>669</v>
      </c>
      <c r="E117" s="46" t="s">
        <v>697</v>
      </c>
      <c r="F117" s="46" t="s">
        <v>40</v>
      </c>
      <c r="G117" s="46" t="s">
        <v>707</v>
      </c>
      <c r="H117" s="78" t="s">
        <v>937</v>
      </c>
      <c r="I117" s="46" t="s">
        <v>561</v>
      </c>
      <c r="J117" s="46">
        <v>8</v>
      </c>
      <c r="K117" s="59">
        <f t="shared" si="30"/>
        <v>780</v>
      </c>
      <c r="L117" s="59">
        <f t="shared" si="31"/>
        <v>780</v>
      </c>
      <c r="M117" s="59">
        <v>780</v>
      </c>
      <c r="N117" s="59"/>
      <c r="O117" s="59"/>
      <c r="P117" s="59"/>
      <c r="Q117" s="46"/>
      <c r="R117" s="46"/>
      <c r="S117" s="46"/>
      <c r="T117" s="46"/>
      <c r="U117" s="46"/>
      <c r="V117" s="46"/>
      <c r="W117" s="46" t="s">
        <v>227</v>
      </c>
      <c r="X117" s="46" t="s">
        <v>1001</v>
      </c>
      <c r="Y117" s="46" t="s">
        <v>396</v>
      </c>
      <c r="Z117" s="46" t="s">
        <v>397</v>
      </c>
      <c r="AA117" s="46"/>
    </row>
    <row r="118" s="27" customFormat="1" ht="205" customHeight="1" spans="1:29">
      <c r="A118" s="46">
        <v>102</v>
      </c>
      <c r="B118" s="46" t="s">
        <v>938</v>
      </c>
      <c r="C118" s="46" t="s">
        <v>714</v>
      </c>
      <c r="D118" s="46" t="s">
        <v>669</v>
      </c>
      <c r="E118" s="46" t="s">
        <v>715</v>
      </c>
      <c r="F118" s="46" t="s">
        <v>40</v>
      </c>
      <c r="G118" s="46" t="s">
        <v>1059</v>
      </c>
      <c r="H118" s="47" t="s">
        <v>1060</v>
      </c>
      <c r="I118" s="46" t="s">
        <v>164</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1059</v>
      </c>
      <c r="X118" s="46" t="s">
        <v>958</v>
      </c>
      <c r="Y118" s="46" t="s">
        <v>939</v>
      </c>
      <c r="Z118" s="82" t="s">
        <v>940</v>
      </c>
      <c r="AA118" s="46"/>
      <c r="AB118" s="28"/>
      <c r="AC118" s="28"/>
    </row>
    <row r="119" s="26" customFormat="1" ht="35.5" spans="1:27">
      <c r="A119" s="90" t="s">
        <v>941</v>
      </c>
      <c r="B119" s="91"/>
      <c r="C119" s="92"/>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942</v>
      </c>
      <c r="C120" s="46" t="s">
        <v>721</v>
      </c>
      <c r="D120" s="46" t="s">
        <v>669</v>
      </c>
      <c r="E120" s="46" t="s">
        <v>722</v>
      </c>
      <c r="F120" s="46" t="s">
        <v>723</v>
      </c>
      <c r="G120" s="46" t="s">
        <v>724</v>
      </c>
      <c r="H120" s="47" t="s">
        <v>725</v>
      </c>
      <c r="I120" s="46" t="s">
        <v>561</v>
      </c>
      <c r="J120" s="46">
        <v>21</v>
      </c>
      <c r="K120" s="59">
        <f t="shared" si="32"/>
        <v>514</v>
      </c>
      <c r="L120" s="59">
        <f t="shared" ref="L120:L138" si="34">SUM(M120:S120)</f>
        <v>514</v>
      </c>
      <c r="M120" s="59"/>
      <c r="N120" s="59">
        <v>514</v>
      </c>
      <c r="O120" s="59"/>
      <c r="P120" s="59"/>
      <c r="Q120" s="46"/>
      <c r="R120" s="46"/>
      <c r="S120" s="46"/>
      <c r="T120" s="46"/>
      <c r="U120" s="46"/>
      <c r="V120" s="46"/>
      <c r="W120" s="46" t="s">
        <v>1061</v>
      </c>
      <c r="X120" s="46" t="s">
        <v>1062</v>
      </c>
      <c r="Y120" s="46" t="s">
        <v>727</v>
      </c>
      <c r="Z120" s="82" t="s">
        <v>728</v>
      </c>
      <c r="AA120" s="46"/>
      <c r="AB120" s="28"/>
      <c r="AC120" s="28"/>
    </row>
    <row r="121" s="27" customFormat="1" ht="157" customHeight="1" spans="1:29">
      <c r="A121" s="46">
        <v>104</v>
      </c>
      <c r="B121" s="46" t="s">
        <v>943</v>
      </c>
      <c r="C121" s="46" t="s">
        <v>730</v>
      </c>
      <c r="D121" s="46" t="s">
        <v>669</v>
      </c>
      <c r="E121" s="46" t="s">
        <v>722</v>
      </c>
      <c r="F121" s="46" t="s">
        <v>723</v>
      </c>
      <c r="G121" s="46" t="s">
        <v>192</v>
      </c>
      <c r="H121" s="47" t="s">
        <v>944</v>
      </c>
      <c r="I121" s="46" t="s">
        <v>561</v>
      </c>
      <c r="J121" s="46">
        <v>123</v>
      </c>
      <c r="K121" s="59">
        <f t="shared" si="32"/>
        <v>1469.61</v>
      </c>
      <c r="L121" s="59">
        <f t="shared" si="34"/>
        <v>1469.61</v>
      </c>
      <c r="M121" s="59"/>
      <c r="N121" s="59">
        <v>1469.61</v>
      </c>
      <c r="O121" s="59"/>
      <c r="P121" s="59"/>
      <c r="Q121" s="46"/>
      <c r="R121" s="46"/>
      <c r="S121" s="46"/>
      <c r="T121" s="46"/>
      <c r="U121" s="46"/>
      <c r="V121" s="46"/>
      <c r="W121" s="46" t="s">
        <v>1061</v>
      </c>
      <c r="X121" s="46" t="s">
        <v>1062</v>
      </c>
      <c r="Y121" s="46" t="s">
        <v>727</v>
      </c>
      <c r="Z121" s="82" t="s">
        <v>728</v>
      </c>
      <c r="AA121" s="46"/>
      <c r="AB121" s="28"/>
      <c r="AC121" s="28"/>
    </row>
    <row r="122" s="26" customFormat="1" ht="35.5" spans="1:27">
      <c r="A122" s="90" t="s">
        <v>945</v>
      </c>
      <c r="B122" s="91"/>
      <c r="C122" s="92"/>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946</v>
      </c>
      <c r="C123" s="46" t="s">
        <v>735</v>
      </c>
      <c r="D123" s="46" t="s">
        <v>669</v>
      </c>
      <c r="E123" s="46" t="s">
        <v>722</v>
      </c>
      <c r="F123" s="46" t="s">
        <v>40</v>
      </c>
      <c r="G123" s="46" t="s">
        <v>736</v>
      </c>
      <c r="H123" s="78" t="s">
        <v>1063</v>
      </c>
      <c r="I123" s="46" t="s">
        <v>561</v>
      </c>
      <c r="J123" s="46">
        <v>5.6</v>
      </c>
      <c r="K123" s="59">
        <f t="shared" ref="K123:K138" si="37">SUM(L123,T123:V123)</f>
        <v>390</v>
      </c>
      <c r="L123" s="59">
        <f t="shared" si="34"/>
        <v>390</v>
      </c>
      <c r="M123" s="59"/>
      <c r="N123" s="59"/>
      <c r="O123" s="59">
        <v>390</v>
      </c>
      <c r="P123" s="59"/>
      <c r="Q123" s="46"/>
      <c r="R123" s="46"/>
      <c r="S123" s="46"/>
      <c r="T123" s="46"/>
      <c r="U123" s="46"/>
      <c r="V123" s="46"/>
      <c r="W123" s="46" t="s">
        <v>197</v>
      </c>
      <c r="X123" s="46" t="s">
        <v>990</v>
      </c>
      <c r="Y123" s="46" t="s">
        <v>739</v>
      </c>
      <c r="Z123" s="82" t="s">
        <v>740</v>
      </c>
      <c r="AA123" s="46"/>
    </row>
    <row r="124" s="28" customFormat="1" ht="133" customHeight="1" spans="1:27">
      <c r="A124" s="46">
        <v>106</v>
      </c>
      <c r="B124" s="46" t="s">
        <v>948</v>
      </c>
      <c r="C124" s="46" t="s">
        <v>742</v>
      </c>
      <c r="D124" s="46" t="s">
        <v>669</v>
      </c>
      <c r="E124" s="46" t="s">
        <v>673</v>
      </c>
      <c r="F124" s="46" t="s">
        <v>40</v>
      </c>
      <c r="G124" s="46" t="s">
        <v>242</v>
      </c>
      <c r="H124" s="78" t="s">
        <v>743</v>
      </c>
      <c r="I124" s="46" t="s">
        <v>561</v>
      </c>
      <c r="J124" s="46">
        <v>13.5</v>
      </c>
      <c r="K124" s="59">
        <f t="shared" si="37"/>
        <v>390</v>
      </c>
      <c r="L124" s="59">
        <f t="shared" si="34"/>
        <v>390</v>
      </c>
      <c r="M124" s="59"/>
      <c r="N124" s="59"/>
      <c r="O124" s="59">
        <v>390</v>
      </c>
      <c r="P124" s="59"/>
      <c r="Q124" s="46"/>
      <c r="R124" s="46"/>
      <c r="S124" s="46"/>
      <c r="T124" s="46"/>
      <c r="U124" s="46"/>
      <c r="V124" s="46"/>
      <c r="W124" s="46" t="s">
        <v>242</v>
      </c>
      <c r="X124" s="46" t="s">
        <v>1006</v>
      </c>
      <c r="Y124" s="46" t="s">
        <v>739</v>
      </c>
      <c r="Z124" s="82" t="s">
        <v>740</v>
      </c>
      <c r="AA124" s="46"/>
    </row>
    <row r="125" s="28" customFormat="1" ht="133" customHeight="1" spans="1:27">
      <c r="A125" s="46">
        <v>107</v>
      </c>
      <c r="B125" s="46" t="s">
        <v>713</v>
      </c>
      <c r="C125" s="46" t="s">
        <v>746</v>
      </c>
      <c r="D125" s="46" t="s">
        <v>669</v>
      </c>
      <c r="E125" s="46" t="s">
        <v>722</v>
      </c>
      <c r="F125" s="46" t="s">
        <v>40</v>
      </c>
      <c r="G125" s="46" t="s">
        <v>257</v>
      </c>
      <c r="H125" s="78" t="s">
        <v>747</v>
      </c>
      <c r="I125" s="46" t="s">
        <v>561</v>
      </c>
      <c r="J125" s="46">
        <v>5.4</v>
      </c>
      <c r="K125" s="59">
        <f t="shared" si="37"/>
        <v>375</v>
      </c>
      <c r="L125" s="59">
        <f t="shared" si="34"/>
        <v>375</v>
      </c>
      <c r="M125" s="59"/>
      <c r="N125" s="59"/>
      <c r="O125" s="59">
        <v>375</v>
      </c>
      <c r="P125" s="59"/>
      <c r="Q125" s="46"/>
      <c r="R125" s="46"/>
      <c r="S125" s="46"/>
      <c r="T125" s="46"/>
      <c r="U125" s="46"/>
      <c r="V125" s="46"/>
      <c r="W125" s="46" t="s">
        <v>257</v>
      </c>
      <c r="X125" s="46" t="s">
        <v>1013</v>
      </c>
      <c r="Y125" s="46" t="s">
        <v>739</v>
      </c>
      <c r="Z125" s="82" t="s">
        <v>740</v>
      </c>
      <c r="AA125" s="46"/>
    </row>
    <row r="126" s="28" customFormat="1" ht="133" customHeight="1" spans="1:27">
      <c r="A126" s="46">
        <v>108</v>
      </c>
      <c r="B126" s="46" t="s">
        <v>720</v>
      </c>
      <c r="C126" s="46" t="s">
        <v>750</v>
      </c>
      <c r="D126" s="46" t="s">
        <v>669</v>
      </c>
      <c r="E126" s="46" t="s">
        <v>722</v>
      </c>
      <c r="F126" s="46" t="s">
        <v>40</v>
      </c>
      <c r="G126" s="46" t="s">
        <v>751</v>
      </c>
      <c r="H126" s="78" t="s">
        <v>752</v>
      </c>
      <c r="I126" s="46" t="s">
        <v>561</v>
      </c>
      <c r="J126" s="46">
        <v>2</v>
      </c>
      <c r="K126" s="59">
        <f t="shared" si="37"/>
        <v>400</v>
      </c>
      <c r="L126" s="59">
        <f t="shared" si="34"/>
        <v>400</v>
      </c>
      <c r="M126" s="59"/>
      <c r="N126" s="59"/>
      <c r="O126" s="59">
        <v>400</v>
      </c>
      <c r="P126" s="59"/>
      <c r="Q126" s="46"/>
      <c r="R126" s="46"/>
      <c r="S126" s="46"/>
      <c r="T126" s="46"/>
      <c r="U126" s="46"/>
      <c r="V126" s="46"/>
      <c r="W126" s="46" t="s">
        <v>1064</v>
      </c>
      <c r="X126" s="46" t="s">
        <v>1065</v>
      </c>
      <c r="Y126" s="46" t="s">
        <v>739</v>
      </c>
      <c r="Z126" s="82" t="s">
        <v>740</v>
      </c>
      <c r="AA126" s="46"/>
    </row>
    <row r="127" s="28" customFormat="1" ht="133" customHeight="1" spans="1:27">
      <c r="A127" s="46">
        <v>109</v>
      </c>
      <c r="B127" s="46" t="s">
        <v>729</v>
      </c>
      <c r="C127" s="46" t="s">
        <v>755</v>
      </c>
      <c r="D127" s="46" t="s">
        <v>669</v>
      </c>
      <c r="E127" s="46" t="s">
        <v>722</v>
      </c>
      <c r="F127" s="46" t="s">
        <v>40</v>
      </c>
      <c r="G127" s="46" t="s">
        <v>217</v>
      </c>
      <c r="H127" s="78" t="s">
        <v>1066</v>
      </c>
      <c r="I127" s="46" t="s">
        <v>561</v>
      </c>
      <c r="J127" s="46">
        <v>5.62</v>
      </c>
      <c r="K127" s="59">
        <f t="shared" si="37"/>
        <v>390</v>
      </c>
      <c r="L127" s="59">
        <f t="shared" si="34"/>
        <v>390</v>
      </c>
      <c r="M127" s="59"/>
      <c r="N127" s="59"/>
      <c r="O127" s="59">
        <v>390</v>
      </c>
      <c r="P127" s="59"/>
      <c r="Q127" s="46"/>
      <c r="R127" s="46"/>
      <c r="S127" s="46"/>
      <c r="T127" s="46"/>
      <c r="U127" s="46"/>
      <c r="V127" s="46"/>
      <c r="W127" s="46" t="s">
        <v>217</v>
      </c>
      <c r="X127" s="46" t="s">
        <v>999</v>
      </c>
      <c r="Y127" s="46" t="s">
        <v>739</v>
      </c>
      <c r="Z127" s="82" t="s">
        <v>740</v>
      </c>
      <c r="AA127" s="46"/>
    </row>
    <row r="128" s="28" customFormat="1" ht="133" customHeight="1" spans="1:27">
      <c r="A128" s="46">
        <v>110</v>
      </c>
      <c r="B128" s="46" t="s">
        <v>734</v>
      </c>
      <c r="C128" s="46" t="s">
        <v>759</v>
      </c>
      <c r="D128" s="46" t="s">
        <v>669</v>
      </c>
      <c r="E128" s="46" t="s">
        <v>722</v>
      </c>
      <c r="F128" s="46" t="s">
        <v>40</v>
      </c>
      <c r="G128" s="46" t="s">
        <v>262</v>
      </c>
      <c r="H128" s="78" t="s">
        <v>1067</v>
      </c>
      <c r="I128" s="46" t="s">
        <v>561</v>
      </c>
      <c r="J128" s="46">
        <v>5.5</v>
      </c>
      <c r="K128" s="59">
        <f t="shared" si="37"/>
        <v>395</v>
      </c>
      <c r="L128" s="59">
        <f t="shared" si="34"/>
        <v>395</v>
      </c>
      <c r="M128" s="59"/>
      <c r="N128" s="59"/>
      <c r="O128" s="59">
        <v>395</v>
      </c>
      <c r="P128" s="59"/>
      <c r="Q128" s="46"/>
      <c r="R128" s="46"/>
      <c r="S128" s="46"/>
      <c r="T128" s="46"/>
      <c r="U128" s="46"/>
      <c r="V128" s="46"/>
      <c r="W128" s="46" t="s">
        <v>262</v>
      </c>
      <c r="X128" s="46" t="s">
        <v>1014</v>
      </c>
      <c r="Y128" s="46" t="s">
        <v>739</v>
      </c>
      <c r="Z128" s="82" t="s">
        <v>740</v>
      </c>
      <c r="AA128" s="46"/>
    </row>
    <row r="129" s="28" customFormat="1" ht="133" customHeight="1" spans="1:27">
      <c r="A129" s="46">
        <v>111</v>
      </c>
      <c r="B129" s="46" t="s">
        <v>741</v>
      </c>
      <c r="C129" s="46" t="s">
        <v>763</v>
      </c>
      <c r="D129" s="46" t="s">
        <v>669</v>
      </c>
      <c r="E129" s="46" t="s">
        <v>673</v>
      </c>
      <c r="F129" s="46" t="s">
        <v>40</v>
      </c>
      <c r="G129" s="46" t="s">
        <v>252</v>
      </c>
      <c r="H129" s="78" t="s">
        <v>764</v>
      </c>
      <c r="I129" s="46" t="s">
        <v>385</v>
      </c>
      <c r="J129" s="46">
        <v>2.4</v>
      </c>
      <c r="K129" s="59">
        <f t="shared" si="37"/>
        <v>400</v>
      </c>
      <c r="L129" s="59">
        <f t="shared" si="34"/>
        <v>400</v>
      </c>
      <c r="M129" s="59"/>
      <c r="N129" s="59"/>
      <c r="O129" s="59">
        <v>400</v>
      </c>
      <c r="P129" s="59"/>
      <c r="Q129" s="46"/>
      <c r="R129" s="46"/>
      <c r="S129" s="46"/>
      <c r="T129" s="46"/>
      <c r="U129" s="46"/>
      <c r="V129" s="46"/>
      <c r="W129" s="46" t="s">
        <v>252</v>
      </c>
      <c r="X129" s="46" t="s">
        <v>1010</v>
      </c>
      <c r="Y129" s="46" t="s">
        <v>739</v>
      </c>
      <c r="Z129" s="82" t="s">
        <v>740</v>
      </c>
      <c r="AA129" s="46"/>
    </row>
    <row r="130" s="28" customFormat="1" ht="133" customHeight="1" spans="1:27">
      <c r="A130" s="46">
        <v>112</v>
      </c>
      <c r="B130" s="46" t="s">
        <v>745</v>
      </c>
      <c r="C130" s="46" t="s">
        <v>767</v>
      </c>
      <c r="D130" s="46" t="s">
        <v>669</v>
      </c>
      <c r="E130" s="46" t="s">
        <v>722</v>
      </c>
      <c r="F130" s="46" t="s">
        <v>40</v>
      </c>
      <c r="G130" s="46" t="s">
        <v>237</v>
      </c>
      <c r="H130" s="78" t="s">
        <v>768</v>
      </c>
      <c r="I130" s="46" t="s">
        <v>561</v>
      </c>
      <c r="J130" s="46">
        <v>0.6</v>
      </c>
      <c r="K130" s="59">
        <f t="shared" si="37"/>
        <v>400</v>
      </c>
      <c r="L130" s="59">
        <f t="shared" si="34"/>
        <v>400</v>
      </c>
      <c r="M130" s="59"/>
      <c r="N130" s="59"/>
      <c r="O130" s="59">
        <v>400</v>
      </c>
      <c r="P130" s="59"/>
      <c r="Q130" s="46"/>
      <c r="R130" s="46"/>
      <c r="S130" s="46"/>
      <c r="T130" s="46"/>
      <c r="U130" s="46"/>
      <c r="V130" s="46"/>
      <c r="W130" s="46" t="s">
        <v>237</v>
      </c>
      <c r="X130" s="46" t="s">
        <v>1004</v>
      </c>
      <c r="Y130" s="46" t="s">
        <v>739</v>
      </c>
      <c r="Z130" s="82" t="s">
        <v>740</v>
      </c>
      <c r="AA130" s="46"/>
    </row>
    <row r="131" s="28" customFormat="1" ht="133" customHeight="1" spans="1:27">
      <c r="A131" s="46">
        <v>113</v>
      </c>
      <c r="B131" s="46" t="s">
        <v>749</v>
      </c>
      <c r="C131" s="46" t="s">
        <v>771</v>
      </c>
      <c r="D131" s="46" t="s">
        <v>669</v>
      </c>
      <c r="E131" s="46" t="s">
        <v>722</v>
      </c>
      <c r="F131" s="46" t="s">
        <v>40</v>
      </c>
      <c r="G131" s="46" t="s">
        <v>222</v>
      </c>
      <c r="H131" s="78" t="s">
        <v>1068</v>
      </c>
      <c r="I131" s="46" t="s">
        <v>561</v>
      </c>
      <c r="J131" s="46">
        <v>3.9</v>
      </c>
      <c r="K131" s="59">
        <f t="shared" si="37"/>
        <v>274</v>
      </c>
      <c r="L131" s="59">
        <f t="shared" si="34"/>
        <v>274</v>
      </c>
      <c r="M131" s="59"/>
      <c r="N131" s="59"/>
      <c r="O131" s="59">
        <v>274</v>
      </c>
      <c r="P131" s="59"/>
      <c r="Q131" s="46"/>
      <c r="R131" s="46"/>
      <c r="S131" s="46"/>
      <c r="T131" s="46"/>
      <c r="U131" s="46"/>
      <c r="V131" s="46"/>
      <c r="W131" s="46" t="s">
        <v>222</v>
      </c>
      <c r="X131" s="46" t="s">
        <v>1000</v>
      </c>
      <c r="Y131" s="46" t="s">
        <v>739</v>
      </c>
      <c r="Z131" s="82" t="s">
        <v>740</v>
      </c>
      <c r="AA131" s="46"/>
    </row>
    <row r="132" s="28" customFormat="1" ht="133" customHeight="1" spans="1:27">
      <c r="A132" s="46">
        <v>114</v>
      </c>
      <c r="B132" s="46" t="s">
        <v>754</v>
      </c>
      <c r="C132" s="46" t="s">
        <v>775</v>
      </c>
      <c r="D132" s="46" t="s">
        <v>669</v>
      </c>
      <c r="E132" s="46" t="s">
        <v>722</v>
      </c>
      <c r="F132" s="46" t="s">
        <v>40</v>
      </c>
      <c r="G132" s="46" t="s">
        <v>207</v>
      </c>
      <c r="H132" s="78" t="s">
        <v>776</v>
      </c>
      <c r="I132" s="46" t="s">
        <v>777</v>
      </c>
      <c r="J132" s="46">
        <v>30</v>
      </c>
      <c r="K132" s="59">
        <f t="shared" si="37"/>
        <v>120</v>
      </c>
      <c r="L132" s="59">
        <f t="shared" si="34"/>
        <v>120</v>
      </c>
      <c r="M132" s="59"/>
      <c r="N132" s="59"/>
      <c r="O132" s="59">
        <v>120</v>
      </c>
      <c r="P132" s="59"/>
      <c r="Q132" s="46"/>
      <c r="R132" s="46"/>
      <c r="S132" s="46"/>
      <c r="T132" s="46"/>
      <c r="U132" s="46"/>
      <c r="V132" s="46"/>
      <c r="W132" s="46" t="s">
        <v>207</v>
      </c>
      <c r="X132" s="46" t="s">
        <v>995</v>
      </c>
      <c r="Y132" s="46" t="s">
        <v>739</v>
      </c>
      <c r="Z132" s="82" t="s">
        <v>740</v>
      </c>
      <c r="AA132" s="46"/>
    </row>
    <row r="133" s="28" customFormat="1" ht="133" customHeight="1" spans="1:27">
      <c r="A133" s="46">
        <v>115</v>
      </c>
      <c r="B133" s="46" t="s">
        <v>758</v>
      </c>
      <c r="C133" s="46" t="s">
        <v>780</v>
      </c>
      <c r="D133" s="46" t="s">
        <v>669</v>
      </c>
      <c r="E133" s="46" t="s">
        <v>722</v>
      </c>
      <c r="F133" s="46" t="s">
        <v>40</v>
      </c>
      <c r="G133" s="46" t="s">
        <v>267</v>
      </c>
      <c r="H133" s="78" t="s">
        <v>781</v>
      </c>
      <c r="I133" s="46" t="s">
        <v>561</v>
      </c>
      <c r="J133" s="46">
        <v>5.6</v>
      </c>
      <c r="K133" s="59">
        <f t="shared" si="37"/>
        <v>392</v>
      </c>
      <c r="L133" s="59">
        <f t="shared" si="34"/>
        <v>392</v>
      </c>
      <c r="M133" s="59"/>
      <c r="N133" s="59"/>
      <c r="O133" s="59">
        <v>392</v>
      </c>
      <c r="P133" s="59"/>
      <c r="Q133" s="46"/>
      <c r="R133" s="46"/>
      <c r="S133" s="46"/>
      <c r="T133" s="46"/>
      <c r="U133" s="46"/>
      <c r="V133" s="46"/>
      <c r="W133" s="46" t="s">
        <v>267</v>
      </c>
      <c r="X133" s="46" t="s">
        <v>1016</v>
      </c>
      <c r="Y133" s="46" t="s">
        <v>739</v>
      </c>
      <c r="Z133" s="82" t="s">
        <v>740</v>
      </c>
      <c r="AA133" s="46"/>
    </row>
    <row r="134" s="28" customFormat="1" ht="133" customHeight="1" spans="1:27">
      <c r="A134" s="46">
        <v>116</v>
      </c>
      <c r="B134" s="46" t="s">
        <v>762</v>
      </c>
      <c r="C134" s="46" t="s">
        <v>784</v>
      </c>
      <c r="D134" s="46" t="s">
        <v>669</v>
      </c>
      <c r="E134" s="46" t="s">
        <v>673</v>
      </c>
      <c r="F134" s="46" t="s">
        <v>40</v>
      </c>
      <c r="G134" s="46" t="s">
        <v>284</v>
      </c>
      <c r="H134" s="78" t="s">
        <v>785</v>
      </c>
      <c r="I134" s="46" t="s">
        <v>385</v>
      </c>
      <c r="J134" s="46">
        <v>2.438</v>
      </c>
      <c r="K134" s="59">
        <f t="shared" si="37"/>
        <v>398</v>
      </c>
      <c r="L134" s="59">
        <f t="shared" si="34"/>
        <v>398</v>
      </c>
      <c r="M134" s="59"/>
      <c r="N134" s="59"/>
      <c r="O134" s="59">
        <v>398</v>
      </c>
      <c r="P134" s="59"/>
      <c r="Q134" s="46"/>
      <c r="R134" s="46"/>
      <c r="S134" s="46"/>
      <c r="T134" s="46"/>
      <c r="U134" s="46"/>
      <c r="V134" s="46"/>
      <c r="W134" s="46" t="s">
        <v>284</v>
      </c>
      <c r="X134" s="46" t="s">
        <v>1026</v>
      </c>
      <c r="Y134" s="46" t="s">
        <v>739</v>
      </c>
      <c r="Z134" s="82" t="s">
        <v>740</v>
      </c>
      <c r="AA134" s="46"/>
    </row>
    <row r="135" s="28" customFormat="1" ht="133" customHeight="1" spans="1:27">
      <c r="A135" s="46">
        <v>117</v>
      </c>
      <c r="B135" s="46" t="s">
        <v>766</v>
      </c>
      <c r="C135" s="46" t="s">
        <v>788</v>
      </c>
      <c r="D135" s="46" t="s">
        <v>669</v>
      </c>
      <c r="E135" s="46" t="s">
        <v>673</v>
      </c>
      <c r="F135" s="46" t="s">
        <v>40</v>
      </c>
      <c r="G135" s="46" t="s">
        <v>212</v>
      </c>
      <c r="H135" s="78" t="s">
        <v>789</v>
      </c>
      <c r="I135" s="46" t="s">
        <v>561</v>
      </c>
      <c r="J135" s="46">
        <v>3</v>
      </c>
      <c r="K135" s="59">
        <f t="shared" si="37"/>
        <v>167</v>
      </c>
      <c r="L135" s="59">
        <f t="shared" si="34"/>
        <v>167</v>
      </c>
      <c r="M135" s="59"/>
      <c r="N135" s="59"/>
      <c r="O135" s="59">
        <v>167</v>
      </c>
      <c r="P135" s="59"/>
      <c r="Q135" s="46"/>
      <c r="R135" s="46"/>
      <c r="S135" s="46"/>
      <c r="T135" s="46"/>
      <c r="U135" s="46"/>
      <c r="V135" s="46"/>
      <c r="W135" s="46" t="s">
        <v>212</v>
      </c>
      <c r="X135" s="46" t="s">
        <v>998</v>
      </c>
      <c r="Y135" s="46" t="s">
        <v>739</v>
      </c>
      <c r="Z135" s="82" t="s">
        <v>740</v>
      </c>
      <c r="AA135" s="46"/>
    </row>
    <row r="136" s="28" customFormat="1" ht="133" customHeight="1" spans="1:27">
      <c r="A136" s="46">
        <v>118</v>
      </c>
      <c r="B136" s="46" t="s">
        <v>770</v>
      </c>
      <c r="C136" s="46" t="s">
        <v>792</v>
      </c>
      <c r="D136" s="46" t="s">
        <v>669</v>
      </c>
      <c r="E136" s="46" t="s">
        <v>722</v>
      </c>
      <c r="F136" s="46" t="s">
        <v>40</v>
      </c>
      <c r="G136" s="46" t="s">
        <v>793</v>
      </c>
      <c r="H136" s="78" t="s">
        <v>1069</v>
      </c>
      <c r="I136" s="46" t="s">
        <v>561</v>
      </c>
      <c r="J136" s="46">
        <v>3</v>
      </c>
      <c r="K136" s="59">
        <f t="shared" si="37"/>
        <v>210</v>
      </c>
      <c r="L136" s="59">
        <f t="shared" si="34"/>
        <v>210</v>
      </c>
      <c r="M136" s="59"/>
      <c r="N136" s="59"/>
      <c r="O136" s="59">
        <v>210</v>
      </c>
      <c r="P136" s="59"/>
      <c r="Q136" s="46"/>
      <c r="R136" s="46"/>
      <c r="S136" s="46"/>
      <c r="T136" s="46"/>
      <c r="U136" s="46"/>
      <c r="V136" s="46"/>
      <c r="W136" s="46" t="s">
        <v>477</v>
      </c>
      <c r="X136" s="46" t="s">
        <v>1058</v>
      </c>
      <c r="Y136" s="46" t="s">
        <v>739</v>
      </c>
      <c r="Z136" s="82" t="s">
        <v>740</v>
      </c>
      <c r="AA136" s="46"/>
    </row>
    <row r="137" s="28" customFormat="1" ht="133" customHeight="1" spans="1:27">
      <c r="A137" s="46">
        <v>119</v>
      </c>
      <c r="B137" s="46" t="s">
        <v>774</v>
      </c>
      <c r="C137" s="46" t="s">
        <v>797</v>
      </c>
      <c r="D137" s="46" t="s">
        <v>669</v>
      </c>
      <c r="E137" s="46" t="s">
        <v>722</v>
      </c>
      <c r="F137" s="46" t="s">
        <v>40</v>
      </c>
      <c r="G137" s="46" t="s">
        <v>227</v>
      </c>
      <c r="H137" s="78" t="s">
        <v>1070</v>
      </c>
      <c r="I137" s="46" t="s">
        <v>561</v>
      </c>
      <c r="J137" s="46">
        <v>5.5</v>
      </c>
      <c r="K137" s="59">
        <f t="shared" si="37"/>
        <v>385</v>
      </c>
      <c r="L137" s="59">
        <f t="shared" si="34"/>
        <v>385</v>
      </c>
      <c r="M137" s="59"/>
      <c r="N137" s="59"/>
      <c r="O137" s="59">
        <v>385</v>
      </c>
      <c r="P137" s="59"/>
      <c r="Q137" s="46"/>
      <c r="R137" s="46"/>
      <c r="S137" s="46"/>
      <c r="T137" s="46"/>
      <c r="U137" s="46"/>
      <c r="V137" s="46"/>
      <c r="W137" s="46" t="s">
        <v>227</v>
      </c>
      <c r="X137" s="46" t="s">
        <v>1001</v>
      </c>
      <c r="Y137" s="46" t="s">
        <v>739</v>
      </c>
      <c r="Z137" s="82" t="s">
        <v>740</v>
      </c>
      <c r="AA137" s="46"/>
    </row>
    <row r="138" s="28" customFormat="1" ht="133" customHeight="1" spans="1:27">
      <c r="A138" s="46">
        <v>120</v>
      </c>
      <c r="B138" s="46" t="s">
        <v>779</v>
      </c>
      <c r="C138" s="46" t="s">
        <v>801</v>
      </c>
      <c r="D138" s="46" t="s">
        <v>669</v>
      </c>
      <c r="E138" s="46" t="s">
        <v>673</v>
      </c>
      <c r="F138" s="46" t="s">
        <v>40</v>
      </c>
      <c r="G138" s="46" t="s">
        <v>609</v>
      </c>
      <c r="H138" s="78" t="s">
        <v>802</v>
      </c>
      <c r="I138" s="46" t="s">
        <v>561</v>
      </c>
      <c r="J138" s="46">
        <v>2.94</v>
      </c>
      <c r="K138" s="59">
        <f t="shared" si="37"/>
        <v>395</v>
      </c>
      <c r="L138" s="59">
        <f t="shared" si="34"/>
        <v>395</v>
      </c>
      <c r="M138" s="59"/>
      <c r="N138" s="59"/>
      <c r="O138" s="59">
        <v>395</v>
      </c>
      <c r="P138" s="59"/>
      <c r="Q138" s="46"/>
      <c r="R138" s="46"/>
      <c r="S138" s="46"/>
      <c r="T138" s="46"/>
      <c r="U138" s="46"/>
      <c r="V138" s="46"/>
      <c r="W138" s="46" t="s">
        <v>609</v>
      </c>
      <c r="X138" s="46" t="s">
        <v>1071</v>
      </c>
      <c r="Y138" s="46" t="s">
        <v>739</v>
      </c>
      <c r="Z138" s="82" t="s">
        <v>740</v>
      </c>
      <c r="AA138" s="46"/>
    </row>
    <row r="139" s="26" customFormat="1" ht="35.5" spans="1:27">
      <c r="A139" s="45" t="s">
        <v>804</v>
      </c>
      <c r="B139" s="96" t="s">
        <v>805</v>
      </c>
      <c r="C139" s="97"/>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0" customFormat="1" ht="196" customHeight="1" spans="1:27">
      <c r="A140" s="46">
        <v>121</v>
      </c>
      <c r="B140" s="46" t="s">
        <v>783</v>
      </c>
      <c r="C140" s="46" t="s">
        <v>807</v>
      </c>
      <c r="D140" s="46" t="s">
        <v>808</v>
      </c>
      <c r="E140" s="46" t="s">
        <v>809</v>
      </c>
      <c r="F140" s="46" t="s">
        <v>40</v>
      </c>
      <c r="G140" s="46" t="s">
        <v>819</v>
      </c>
      <c r="H140" s="78" t="s">
        <v>1072</v>
      </c>
      <c r="I140" s="46" t="s">
        <v>642</v>
      </c>
      <c r="J140" s="46">
        <v>6000</v>
      </c>
      <c r="K140" s="59">
        <f>SUM(L140,T140:V140)</f>
        <v>1800</v>
      </c>
      <c r="L140" s="59">
        <f>SUM(M140:S140)</f>
        <v>1800</v>
      </c>
      <c r="M140" s="59">
        <v>1800</v>
      </c>
      <c r="N140" s="59"/>
      <c r="O140" s="59"/>
      <c r="P140" s="59"/>
      <c r="Q140" s="46"/>
      <c r="R140" s="46"/>
      <c r="S140" s="46"/>
      <c r="T140" s="46"/>
      <c r="U140" s="46"/>
      <c r="V140" s="46"/>
      <c r="W140" s="46" t="s">
        <v>812</v>
      </c>
      <c r="X140" s="46" t="s">
        <v>813</v>
      </c>
      <c r="Y140" s="46" t="s">
        <v>812</v>
      </c>
      <c r="Z140" s="46" t="s">
        <v>813</v>
      </c>
      <c r="AA140" s="46"/>
    </row>
    <row r="141" s="26" customFormat="1" ht="35.5" spans="1:27">
      <c r="A141" s="45" t="s">
        <v>814</v>
      </c>
      <c r="B141" s="96" t="s">
        <v>832</v>
      </c>
      <c r="C141" s="97"/>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6.5" spans="1:27">
      <c r="A142" s="46">
        <v>122</v>
      </c>
      <c r="B142" s="46" t="s">
        <v>796</v>
      </c>
      <c r="C142" s="46" t="s">
        <v>834</v>
      </c>
      <c r="D142" s="46" t="s">
        <v>835</v>
      </c>
      <c r="E142" s="46" t="s">
        <v>836</v>
      </c>
      <c r="F142" s="46" t="s">
        <v>40</v>
      </c>
      <c r="G142" s="46" t="s">
        <v>819</v>
      </c>
      <c r="H142" s="78" t="s">
        <v>837</v>
      </c>
      <c r="I142" s="46" t="s">
        <v>187</v>
      </c>
      <c r="J142" s="46">
        <v>10185</v>
      </c>
      <c r="K142" s="59">
        <f>SUM(L142,T142:V142)</f>
        <v>48</v>
      </c>
      <c r="L142" s="59">
        <f>SUM(M142:S142)</f>
        <v>48</v>
      </c>
      <c r="M142" s="59"/>
      <c r="N142" s="59"/>
      <c r="O142" s="59"/>
      <c r="P142" s="59">
        <v>48</v>
      </c>
      <c r="Q142" s="46"/>
      <c r="R142" s="46"/>
      <c r="S142" s="46"/>
      <c r="T142" s="46"/>
      <c r="U142" s="46"/>
      <c r="V142" s="46"/>
      <c r="W142" s="46" t="s">
        <v>536</v>
      </c>
      <c r="X142" s="46" t="s">
        <v>537</v>
      </c>
      <c r="Y142" s="46" t="s">
        <v>536</v>
      </c>
      <c r="Z142" s="46" t="s">
        <v>537</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30" sqref="H30"/>
    </sheetView>
  </sheetViews>
  <sheetFormatPr defaultColWidth="9" defaultRowHeight="17.5"/>
  <cols>
    <col min="1" max="1" width="9.25384615384615" style="29" customWidth="1"/>
    <col min="2" max="2" width="13.2538461538462" style="30" customWidth="1"/>
    <col min="3" max="3" width="50.3846153846154" style="30" customWidth="1"/>
    <col min="4" max="4" width="12.3769230769231" style="30" customWidth="1"/>
    <col min="5" max="5" width="20.5769230769231" style="30" customWidth="1"/>
    <col min="6" max="6" width="11.5384615384615" style="30" customWidth="1"/>
    <col min="7" max="7" width="53.6230769230769" style="30" customWidth="1"/>
    <col min="8" max="8" width="145.576923076923" style="31" customWidth="1"/>
    <col min="9" max="9" width="17.1230769230769" style="31" customWidth="1"/>
    <col min="10" max="10" width="24.8769230769231" style="31" customWidth="1"/>
    <col min="11" max="11" width="26.2538461538462" style="32" customWidth="1"/>
    <col min="12" max="13" width="26.2538461538462" style="32" hidden="1" customWidth="1"/>
    <col min="14" max="16" width="23.5" style="32" hidden="1" customWidth="1"/>
    <col min="17" max="17" width="15.1230769230769" style="30" hidden="1" customWidth="1"/>
    <col min="18" max="18" width="17.8769230769231" style="30" hidden="1" customWidth="1"/>
    <col min="19" max="19" width="15.1230769230769" style="30" hidden="1" customWidth="1"/>
    <col min="20" max="20" width="23.5" style="30" hidden="1" customWidth="1"/>
    <col min="21" max="21" width="20.7538461538462" style="30" hidden="1" customWidth="1"/>
    <col min="22" max="22" width="23.8769230769231" style="30" hidden="1" customWidth="1"/>
    <col min="23" max="23" width="15.6230769230769" style="30" customWidth="1"/>
    <col min="24" max="24" width="17.6923076923077" style="30" customWidth="1"/>
    <col min="25" max="25" width="20.1923076923077" style="33" customWidth="1"/>
    <col min="26" max="26" width="10.8769230769231" style="34" customWidth="1"/>
    <col min="27" max="27" width="22.6230769230769" style="33" customWidth="1"/>
    <col min="28" max="28" width="9" style="35" hidden="1" customWidth="1"/>
    <col min="29" max="29" width="18.3846153846154" style="35" hidden="1" customWidth="1"/>
    <col min="30" max="16384" width="9" style="36"/>
  </cols>
  <sheetData>
    <row r="1" s="22" customFormat="1" ht="84" customHeight="1" spans="1:29">
      <c r="A1" s="37" t="s">
        <v>953</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18</v>
      </c>
      <c r="Y3" s="10" t="s">
        <v>954</v>
      </c>
      <c r="Z3" s="10" t="s">
        <v>18</v>
      </c>
      <c r="AA3" s="10" t="s">
        <v>19</v>
      </c>
      <c r="AB3" s="63"/>
      <c r="AC3" s="63"/>
    </row>
    <row r="4" s="24" customFormat="1" ht="42" customHeight="1" spans="1:29">
      <c r="A4" s="10"/>
      <c r="B4" s="10"/>
      <c r="C4" s="10"/>
      <c r="D4" s="10"/>
      <c r="E4" s="10"/>
      <c r="F4" s="10"/>
      <c r="G4" s="10"/>
      <c r="H4" s="10"/>
      <c r="I4" s="10"/>
      <c r="J4" s="10"/>
      <c r="K4" s="16"/>
      <c r="L4" s="16" t="s">
        <v>20</v>
      </c>
      <c r="M4" s="16"/>
      <c r="N4" s="16"/>
      <c r="O4" s="16"/>
      <c r="P4" s="16"/>
      <c r="Q4" s="10"/>
      <c r="R4" s="10"/>
      <c r="S4" s="10"/>
      <c r="T4" s="10" t="s">
        <v>21</v>
      </c>
      <c r="U4" s="10" t="s">
        <v>22</v>
      </c>
      <c r="V4" s="10" t="s">
        <v>23</v>
      </c>
      <c r="W4" s="10"/>
      <c r="X4" s="10"/>
      <c r="Y4" s="10"/>
      <c r="Z4" s="10"/>
      <c r="AA4" s="10"/>
      <c r="AB4" s="63"/>
      <c r="AC4" s="63"/>
    </row>
    <row r="5" s="24" customFormat="1" ht="42" customHeight="1" spans="1:29">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31</v>
      </c>
      <c r="N6" s="16" t="s">
        <v>32</v>
      </c>
      <c r="O6" s="55"/>
      <c r="P6" s="55"/>
      <c r="Q6" s="60"/>
      <c r="R6" s="60"/>
      <c r="S6" s="60"/>
      <c r="T6" s="10"/>
      <c r="U6" s="10"/>
      <c r="V6" s="10"/>
      <c r="W6" s="10"/>
      <c r="X6" s="10"/>
      <c r="Y6" s="10"/>
      <c r="Z6" s="10"/>
      <c r="AA6" s="10"/>
      <c r="AB6" s="63"/>
      <c r="AC6" s="63"/>
    </row>
    <row r="7" s="25" customFormat="1" ht="43" hidden="1" customHeight="1" spans="1:29">
      <c r="A7" s="42" t="s">
        <v>33</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5.5" spans="1:27">
      <c r="A8" s="43" t="s">
        <v>189</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195</v>
      </c>
      <c r="C9" s="46" t="s">
        <v>191</v>
      </c>
      <c r="D9" s="46" t="s">
        <v>35</v>
      </c>
      <c r="E9" s="46" t="s">
        <v>39</v>
      </c>
      <c r="F9" s="46" t="s">
        <v>40</v>
      </c>
      <c r="G9" s="46" t="s">
        <v>985</v>
      </c>
      <c r="H9" s="47" t="s">
        <v>986</v>
      </c>
      <c r="I9" s="46" t="s">
        <v>43</v>
      </c>
      <c r="J9" s="46">
        <v>2200</v>
      </c>
      <c r="K9" s="59">
        <f t="shared" ref="K8:K33" si="1">SUM(L9,T9,U9,V9)</f>
        <v>396</v>
      </c>
      <c r="L9" s="59">
        <f t="shared" ref="L8:L33" si="2">SUM(M9:S9)</f>
        <v>396</v>
      </c>
      <c r="M9" s="59">
        <f>J9*0.18</f>
        <v>396</v>
      </c>
      <c r="N9" s="59"/>
      <c r="O9" s="59"/>
      <c r="P9" s="59"/>
      <c r="Q9" s="46"/>
      <c r="R9" s="46"/>
      <c r="S9" s="46"/>
      <c r="T9" s="46"/>
      <c r="U9" s="46"/>
      <c r="V9" s="46"/>
      <c r="W9" s="46" t="s">
        <v>192</v>
      </c>
      <c r="X9" s="46" t="s">
        <v>987</v>
      </c>
      <c r="Y9" s="46" t="s">
        <v>855</v>
      </c>
      <c r="Z9" s="46" t="s">
        <v>856</v>
      </c>
      <c r="AA9" s="46"/>
      <c r="AB9" s="28"/>
      <c r="AC9" s="28"/>
    </row>
    <row r="10" s="27" customFormat="1" ht="123" customHeight="1" spans="1:29">
      <c r="A10" s="46">
        <v>23</v>
      </c>
      <c r="B10" s="46" t="s">
        <v>200</v>
      </c>
      <c r="C10" s="46" t="s">
        <v>196</v>
      </c>
      <c r="D10" s="46" t="s">
        <v>35</v>
      </c>
      <c r="E10" s="46" t="s">
        <v>39</v>
      </c>
      <c r="F10" s="46" t="s">
        <v>40</v>
      </c>
      <c r="G10" s="46" t="s">
        <v>988</v>
      </c>
      <c r="H10" s="47" t="s">
        <v>989</v>
      </c>
      <c r="I10" s="46" t="s">
        <v>43</v>
      </c>
      <c r="J10" s="46">
        <v>2045</v>
      </c>
      <c r="K10" s="59">
        <f t="shared" si="1"/>
        <v>368</v>
      </c>
      <c r="L10" s="59">
        <f t="shared" si="2"/>
        <v>368</v>
      </c>
      <c r="M10" s="59">
        <v>368</v>
      </c>
      <c r="N10" s="59"/>
      <c r="O10" s="59"/>
      <c r="P10" s="59"/>
      <c r="Q10" s="46"/>
      <c r="R10" s="46"/>
      <c r="S10" s="46"/>
      <c r="T10" s="46"/>
      <c r="U10" s="46"/>
      <c r="V10" s="46"/>
      <c r="W10" s="46" t="s">
        <v>197</v>
      </c>
      <c r="X10" s="46" t="s">
        <v>990</v>
      </c>
      <c r="Y10" s="46" t="s">
        <v>855</v>
      </c>
      <c r="Z10" s="46" t="s">
        <v>856</v>
      </c>
      <c r="AA10" s="46"/>
      <c r="AB10" s="28"/>
      <c r="AC10" s="28"/>
    </row>
    <row r="11" s="27" customFormat="1" ht="123" customHeight="1" spans="1:29">
      <c r="A11" s="46">
        <v>24</v>
      </c>
      <c r="B11" s="46" t="s">
        <v>205</v>
      </c>
      <c r="C11" s="46" t="s">
        <v>201</v>
      </c>
      <c r="D11" s="46" t="s">
        <v>35</v>
      </c>
      <c r="E11" s="46" t="s">
        <v>39</v>
      </c>
      <c r="F11" s="46" t="s">
        <v>40</v>
      </c>
      <c r="G11" s="46" t="s">
        <v>991</v>
      </c>
      <c r="H11" s="47" t="s">
        <v>992</v>
      </c>
      <c r="I11" s="46" t="s">
        <v>43</v>
      </c>
      <c r="J11" s="46">
        <v>1600</v>
      </c>
      <c r="K11" s="59">
        <f t="shared" si="1"/>
        <v>288</v>
      </c>
      <c r="L11" s="59">
        <f t="shared" si="2"/>
        <v>126.12</v>
      </c>
      <c r="M11" s="59">
        <f>J11*0.18-U11</f>
        <v>126.12</v>
      </c>
      <c r="N11" s="59"/>
      <c r="O11" s="59"/>
      <c r="P11" s="59"/>
      <c r="Q11" s="46"/>
      <c r="R11" s="46"/>
      <c r="S11" s="46"/>
      <c r="T11" s="46"/>
      <c r="U11" s="46">
        <f>94.88+67</f>
        <v>161.88</v>
      </c>
      <c r="V11" s="46"/>
      <c r="W11" s="46" t="s">
        <v>202</v>
      </c>
      <c r="X11" s="46" t="s">
        <v>993</v>
      </c>
      <c r="Y11" s="46" t="s">
        <v>855</v>
      </c>
      <c r="Z11" s="46" t="s">
        <v>856</v>
      </c>
      <c r="AA11" s="46"/>
      <c r="AB11" s="28"/>
      <c r="AC11" s="28"/>
    </row>
    <row r="12" s="27" customFormat="1" ht="123" customHeight="1" spans="1:29">
      <c r="A12" s="46">
        <v>25</v>
      </c>
      <c r="B12" s="46" t="s">
        <v>210</v>
      </c>
      <c r="C12" s="46" t="s">
        <v>206</v>
      </c>
      <c r="D12" s="46" t="s">
        <v>35</v>
      </c>
      <c r="E12" s="46" t="s">
        <v>39</v>
      </c>
      <c r="F12" s="46" t="s">
        <v>40</v>
      </c>
      <c r="G12" s="46" t="s">
        <v>207</v>
      </c>
      <c r="H12" s="47" t="s">
        <v>994</v>
      </c>
      <c r="I12" s="46" t="s">
        <v>43</v>
      </c>
      <c r="J12" s="46">
        <v>2260</v>
      </c>
      <c r="K12" s="59">
        <f t="shared" si="1"/>
        <v>398</v>
      </c>
      <c r="L12" s="59">
        <f t="shared" si="2"/>
        <v>398</v>
      </c>
      <c r="M12" s="59">
        <v>398</v>
      </c>
      <c r="N12" s="59"/>
      <c r="O12" s="59"/>
      <c r="P12" s="59"/>
      <c r="Q12" s="46"/>
      <c r="R12" s="46"/>
      <c r="S12" s="46"/>
      <c r="T12" s="46"/>
      <c r="U12" s="46"/>
      <c r="V12" s="46"/>
      <c r="W12" s="46" t="s">
        <v>207</v>
      </c>
      <c r="X12" s="46" t="s">
        <v>995</v>
      </c>
      <c r="Y12" s="46" t="s">
        <v>855</v>
      </c>
      <c r="Z12" s="46" t="s">
        <v>856</v>
      </c>
      <c r="AA12" s="46"/>
      <c r="AB12" s="28"/>
      <c r="AC12" s="28"/>
    </row>
    <row r="13" s="27" customFormat="1" ht="123" customHeight="1" spans="1:29">
      <c r="A13" s="46">
        <v>26</v>
      </c>
      <c r="B13" s="46" t="s">
        <v>215</v>
      </c>
      <c r="C13" s="46" t="s">
        <v>211</v>
      </c>
      <c r="D13" s="46" t="s">
        <v>35</v>
      </c>
      <c r="E13" s="46" t="s">
        <v>39</v>
      </c>
      <c r="F13" s="46" t="s">
        <v>40</v>
      </c>
      <c r="G13" s="46" t="s">
        <v>996</v>
      </c>
      <c r="H13" s="47" t="s">
        <v>997</v>
      </c>
      <c r="I13" s="46" t="s">
        <v>43</v>
      </c>
      <c r="J13" s="46">
        <v>1788</v>
      </c>
      <c r="K13" s="59">
        <f t="shared" si="1"/>
        <v>320</v>
      </c>
      <c r="L13" s="59">
        <f t="shared" si="2"/>
        <v>320</v>
      </c>
      <c r="M13" s="59">
        <v>320</v>
      </c>
      <c r="N13" s="59"/>
      <c r="O13" s="59"/>
      <c r="P13" s="59"/>
      <c r="Q13" s="46"/>
      <c r="R13" s="46"/>
      <c r="S13" s="46"/>
      <c r="T13" s="46"/>
      <c r="U13" s="46"/>
      <c r="V13" s="46"/>
      <c r="W13" s="46" t="s">
        <v>212</v>
      </c>
      <c r="X13" s="46" t="s">
        <v>998</v>
      </c>
      <c r="Y13" s="46" t="s">
        <v>855</v>
      </c>
      <c r="Z13" s="46" t="s">
        <v>856</v>
      </c>
      <c r="AA13" s="46"/>
      <c r="AB13" s="28"/>
      <c r="AC13" s="28"/>
    </row>
    <row r="14" s="27" customFormat="1" ht="123" customHeight="1" spans="1:29">
      <c r="A14" s="46">
        <v>27</v>
      </c>
      <c r="B14" s="46" t="s">
        <v>220</v>
      </c>
      <c r="C14" s="46" t="s">
        <v>216</v>
      </c>
      <c r="D14" s="46" t="s">
        <v>35</v>
      </c>
      <c r="E14" s="46" t="s">
        <v>39</v>
      </c>
      <c r="F14" s="46" t="s">
        <v>40</v>
      </c>
      <c r="G14" s="46" t="s">
        <v>217</v>
      </c>
      <c r="H14" s="47" t="s">
        <v>218</v>
      </c>
      <c r="I14" s="46" t="s">
        <v>43</v>
      </c>
      <c r="J14" s="46">
        <v>1500</v>
      </c>
      <c r="K14" s="59">
        <f t="shared" si="1"/>
        <v>270</v>
      </c>
      <c r="L14" s="59">
        <f t="shared" si="2"/>
        <v>270</v>
      </c>
      <c r="M14" s="59">
        <f t="shared" ref="M14:M19" si="3">J14*0.18</f>
        <v>270</v>
      </c>
      <c r="N14" s="59"/>
      <c r="O14" s="59"/>
      <c r="P14" s="59"/>
      <c r="Q14" s="46"/>
      <c r="R14" s="46"/>
      <c r="S14" s="46"/>
      <c r="T14" s="46"/>
      <c r="U14" s="46"/>
      <c r="V14" s="46"/>
      <c r="W14" s="46" t="s">
        <v>217</v>
      </c>
      <c r="X14" s="46" t="s">
        <v>999</v>
      </c>
      <c r="Y14" s="46" t="s">
        <v>855</v>
      </c>
      <c r="Z14" s="46" t="s">
        <v>856</v>
      </c>
      <c r="AA14" s="46"/>
      <c r="AB14" s="28"/>
      <c r="AC14" s="28"/>
    </row>
    <row r="15" s="27" customFormat="1" ht="123" customHeight="1" spans="1:29">
      <c r="A15" s="46">
        <v>28</v>
      </c>
      <c r="B15" s="46" t="s">
        <v>225</v>
      </c>
      <c r="C15" s="46" t="s">
        <v>221</v>
      </c>
      <c r="D15" s="46" t="s">
        <v>35</v>
      </c>
      <c r="E15" s="46" t="s">
        <v>39</v>
      </c>
      <c r="F15" s="46" t="s">
        <v>40</v>
      </c>
      <c r="G15" s="46" t="s">
        <v>222</v>
      </c>
      <c r="H15" s="47" t="s">
        <v>986</v>
      </c>
      <c r="I15" s="46" t="s">
        <v>43</v>
      </c>
      <c r="J15" s="46">
        <v>2200</v>
      </c>
      <c r="K15" s="59">
        <f t="shared" si="1"/>
        <v>396</v>
      </c>
      <c r="L15" s="59">
        <f t="shared" si="2"/>
        <v>396</v>
      </c>
      <c r="M15" s="59">
        <f t="shared" si="3"/>
        <v>396</v>
      </c>
      <c r="N15" s="59"/>
      <c r="O15" s="59"/>
      <c r="P15" s="59"/>
      <c r="Q15" s="46"/>
      <c r="R15" s="46"/>
      <c r="S15" s="46"/>
      <c r="T15" s="46"/>
      <c r="U15" s="46"/>
      <c r="V15" s="46"/>
      <c r="W15" s="46" t="s">
        <v>222</v>
      </c>
      <c r="X15" s="46" t="s">
        <v>1000</v>
      </c>
      <c r="Y15" s="46" t="s">
        <v>855</v>
      </c>
      <c r="Z15" s="46" t="s">
        <v>856</v>
      </c>
      <c r="AA15" s="46"/>
      <c r="AB15" s="28"/>
      <c r="AC15" s="28"/>
    </row>
    <row r="16" s="27" customFormat="1" ht="123" customHeight="1" spans="1:29">
      <c r="A16" s="46">
        <v>29</v>
      </c>
      <c r="B16" s="46" t="s">
        <v>230</v>
      </c>
      <c r="C16" s="46" t="s">
        <v>226</v>
      </c>
      <c r="D16" s="46" t="s">
        <v>35</v>
      </c>
      <c r="E16" s="46" t="s">
        <v>39</v>
      </c>
      <c r="F16" s="46" t="s">
        <v>40</v>
      </c>
      <c r="G16" s="46" t="s">
        <v>227</v>
      </c>
      <c r="H16" s="47" t="s">
        <v>986</v>
      </c>
      <c r="I16" s="46" t="s">
        <v>43</v>
      </c>
      <c r="J16" s="46">
        <v>2200</v>
      </c>
      <c r="K16" s="59">
        <f t="shared" si="1"/>
        <v>396</v>
      </c>
      <c r="L16" s="59">
        <f t="shared" si="2"/>
        <v>396</v>
      </c>
      <c r="M16" s="59">
        <f t="shared" si="3"/>
        <v>396</v>
      </c>
      <c r="N16" s="59"/>
      <c r="O16" s="59"/>
      <c r="P16" s="59"/>
      <c r="Q16" s="46"/>
      <c r="R16" s="46"/>
      <c r="S16" s="46"/>
      <c r="T16" s="46"/>
      <c r="U16" s="46"/>
      <c r="V16" s="46"/>
      <c r="W16" s="46" t="s">
        <v>227</v>
      </c>
      <c r="X16" s="46" t="s">
        <v>1001</v>
      </c>
      <c r="Y16" s="46" t="s">
        <v>855</v>
      </c>
      <c r="Z16" s="46" t="s">
        <v>856</v>
      </c>
      <c r="AA16" s="46"/>
      <c r="AB16" s="28"/>
      <c r="AC16" s="28"/>
    </row>
    <row r="17" s="27" customFormat="1" ht="123" customHeight="1" spans="1:29">
      <c r="A17" s="46">
        <v>30</v>
      </c>
      <c r="B17" s="46" t="s">
        <v>235</v>
      </c>
      <c r="C17" s="46" t="s">
        <v>231</v>
      </c>
      <c r="D17" s="46" t="s">
        <v>35</v>
      </c>
      <c r="E17" s="46" t="s">
        <v>39</v>
      </c>
      <c r="F17" s="46" t="s">
        <v>40</v>
      </c>
      <c r="G17" s="46" t="s">
        <v>1002</v>
      </c>
      <c r="H17" s="47" t="s">
        <v>986</v>
      </c>
      <c r="I17" s="46" t="s">
        <v>43</v>
      </c>
      <c r="J17" s="46">
        <v>2200</v>
      </c>
      <c r="K17" s="59">
        <f t="shared" si="1"/>
        <v>396</v>
      </c>
      <c r="L17" s="59">
        <f t="shared" si="2"/>
        <v>396</v>
      </c>
      <c r="M17" s="59">
        <f t="shared" si="3"/>
        <v>396</v>
      </c>
      <c r="N17" s="59"/>
      <c r="O17" s="59"/>
      <c r="P17" s="59"/>
      <c r="Q17" s="46"/>
      <c r="R17" s="46"/>
      <c r="S17" s="46"/>
      <c r="T17" s="46"/>
      <c r="U17" s="46"/>
      <c r="V17" s="46"/>
      <c r="W17" s="46" t="s">
        <v>232</v>
      </c>
      <c r="X17" s="46" t="s">
        <v>1003</v>
      </c>
      <c r="Y17" s="46" t="s">
        <v>855</v>
      </c>
      <c r="Z17" s="46" t="s">
        <v>856</v>
      </c>
      <c r="AA17" s="46"/>
      <c r="AB17" s="28"/>
      <c r="AC17" s="28"/>
    </row>
    <row r="18" s="27" customFormat="1" ht="123" customHeight="1" spans="1:29">
      <c r="A18" s="46">
        <v>31</v>
      </c>
      <c r="B18" s="46" t="s">
        <v>240</v>
      </c>
      <c r="C18" s="46" t="s">
        <v>236</v>
      </c>
      <c r="D18" s="46" t="s">
        <v>35</v>
      </c>
      <c r="E18" s="46" t="s">
        <v>39</v>
      </c>
      <c r="F18" s="46" t="s">
        <v>40</v>
      </c>
      <c r="G18" s="46" t="s">
        <v>237</v>
      </c>
      <c r="H18" s="47" t="s">
        <v>986</v>
      </c>
      <c r="I18" s="46" t="s">
        <v>43</v>
      </c>
      <c r="J18" s="46">
        <v>2200</v>
      </c>
      <c r="K18" s="59">
        <f t="shared" si="1"/>
        <v>396</v>
      </c>
      <c r="L18" s="59">
        <f t="shared" si="2"/>
        <v>396</v>
      </c>
      <c r="M18" s="59">
        <f t="shared" si="3"/>
        <v>396</v>
      </c>
      <c r="N18" s="59"/>
      <c r="O18" s="59"/>
      <c r="P18" s="59"/>
      <c r="Q18" s="46"/>
      <c r="R18" s="46"/>
      <c r="S18" s="46"/>
      <c r="T18" s="46"/>
      <c r="U18" s="46"/>
      <c r="V18" s="46"/>
      <c r="W18" s="46" t="s">
        <v>237</v>
      </c>
      <c r="X18" s="46" t="s">
        <v>1004</v>
      </c>
      <c r="Y18" s="46" t="s">
        <v>855</v>
      </c>
      <c r="Z18" s="46" t="s">
        <v>856</v>
      </c>
      <c r="AA18" s="46"/>
      <c r="AB18" s="28"/>
      <c r="AC18" s="28"/>
    </row>
    <row r="19" s="27" customFormat="1" ht="123" customHeight="1" spans="1:29">
      <c r="A19" s="46">
        <v>32</v>
      </c>
      <c r="B19" s="46" t="s">
        <v>245</v>
      </c>
      <c r="C19" s="46" t="s">
        <v>241</v>
      </c>
      <c r="D19" s="46" t="s">
        <v>35</v>
      </c>
      <c r="E19" s="46" t="s">
        <v>39</v>
      </c>
      <c r="F19" s="46" t="s">
        <v>40</v>
      </c>
      <c r="G19" s="46" t="s">
        <v>1005</v>
      </c>
      <c r="H19" s="47" t="s">
        <v>986</v>
      </c>
      <c r="I19" s="46" t="s">
        <v>43</v>
      </c>
      <c r="J19" s="46">
        <v>2200</v>
      </c>
      <c r="K19" s="59">
        <f t="shared" si="1"/>
        <v>396</v>
      </c>
      <c r="L19" s="59">
        <f t="shared" si="2"/>
        <v>396</v>
      </c>
      <c r="M19" s="59">
        <f t="shared" si="3"/>
        <v>396</v>
      </c>
      <c r="N19" s="59"/>
      <c r="O19" s="59"/>
      <c r="P19" s="59"/>
      <c r="Q19" s="46"/>
      <c r="R19" s="46"/>
      <c r="S19" s="46"/>
      <c r="T19" s="46"/>
      <c r="U19" s="46"/>
      <c r="V19" s="46"/>
      <c r="W19" s="46" t="s">
        <v>242</v>
      </c>
      <c r="X19" s="46" t="s">
        <v>1006</v>
      </c>
      <c r="Y19" s="46" t="s">
        <v>855</v>
      </c>
      <c r="Z19" s="46" t="s">
        <v>856</v>
      </c>
      <c r="AA19" s="46"/>
      <c r="AB19" s="28"/>
      <c r="AC19" s="28"/>
    </row>
    <row r="20" s="27" customFormat="1" ht="123" customHeight="1" spans="1:29">
      <c r="A20" s="46">
        <v>33</v>
      </c>
      <c r="B20" s="46" t="s">
        <v>250</v>
      </c>
      <c r="C20" s="46" t="s">
        <v>246</v>
      </c>
      <c r="D20" s="46" t="s">
        <v>35</v>
      </c>
      <c r="E20" s="46" t="s">
        <v>39</v>
      </c>
      <c r="F20" s="46" t="s">
        <v>40</v>
      </c>
      <c r="G20" s="46" t="s">
        <v>1007</v>
      </c>
      <c r="H20" s="47" t="s">
        <v>1008</v>
      </c>
      <c r="I20" s="46" t="s">
        <v>43</v>
      </c>
      <c r="J20" s="46">
        <v>2367</v>
      </c>
      <c r="K20" s="59">
        <f t="shared" si="1"/>
        <v>395</v>
      </c>
      <c r="L20" s="59">
        <f t="shared" si="2"/>
        <v>395</v>
      </c>
      <c r="M20" s="59">
        <v>395</v>
      </c>
      <c r="N20" s="59"/>
      <c r="O20" s="59"/>
      <c r="P20" s="59"/>
      <c r="Q20" s="46"/>
      <c r="R20" s="46"/>
      <c r="S20" s="46"/>
      <c r="T20" s="46"/>
      <c r="U20" s="46"/>
      <c r="V20" s="46"/>
      <c r="W20" s="46" t="s">
        <v>247</v>
      </c>
      <c r="X20" s="46" t="s">
        <v>1009</v>
      </c>
      <c r="Y20" s="46" t="s">
        <v>855</v>
      </c>
      <c r="Z20" s="46" t="s">
        <v>856</v>
      </c>
      <c r="AA20" s="46"/>
      <c r="AB20" s="28"/>
      <c r="AC20" s="28"/>
    </row>
    <row r="21" s="27" customFormat="1" ht="123" customHeight="1" spans="1:29">
      <c r="A21" s="46">
        <v>34</v>
      </c>
      <c r="B21" s="46" t="s">
        <v>255</v>
      </c>
      <c r="C21" s="46" t="s">
        <v>251</v>
      </c>
      <c r="D21" s="46" t="s">
        <v>35</v>
      </c>
      <c r="E21" s="46" t="s">
        <v>39</v>
      </c>
      <c r="F21" s="46" t="s">
        <v>40</v>
      </c>
      <c r="G21" s="46" t="s">
        <v>252</v>
      </c>
      <c r="H21" s="47" t="s">
        <v>986</v>
      </c>
      <c r="I21" s="46" t="s">
        <v>43</v>
      </c>
      <c r="J21" s="46">
        <v>2200</v>
      </c>
      <c r="K21" s="59">
        <f t="shared" si="1"/>
        <v>396</v>
      </c>
      <c r="L21" s="59">
        <f t="shared" si="2"/>
        <v>396</v>
      </c>
      <c r="M21" s="59">
        <f t="shared" ref="M21:M24" si="4">J21*0.18</f>
        <v>396</v>
      </c>
      <c r="N21" s="59"/>
      <c r="O21" s="59"/>
      <c r="P21" s="59"/>
      <c r="Q21" s="46"/>
      <c r="R21" s="46"/>
      <c r="S21" s="46"/>
      <c r="T21" s="46"/>
      <c r="U21" s="46"/>
      <c r="V21" s="46"/>
      <c r="W21" s="46" t="s">
        <v>252</v>
      </c>
      <c r="X21" s="46" t="s">
        <v>1010</v>
      </c>
      <c r="Y21" s="46" t="s">
        <v>855</v>
      </c>
      <c r="Z21" s="46" t="s">
        <v>856</v>
      </c>
      <c r="AA21" s="46"/>
      <c r="AB21" s="28"/>
      <c r="AC21" s="28"/>
    </row>
    <row r="22" s="27" customFormat="1" ht="123" customHeight="1" spans="1:29">
      <c r="A22" s="46">
        <v>35</v>
      </c>
      <c r="B22" s="46" t="s">
        <v>260</v>
      </c>
      <c r="C22" s="46" t="s">
        <v>256</v>
      </c>
      <c r="D22" s="46" t="s">
        <v>35</v>
      </c>
      <c r="E22" s="46" t="s">
        <v>39</v>
      </c>
      <c r="F22" s="46" t="s">
        <v>40</v>
      </c>
      <c r="G22" s="46" t="s">
        <v>1011</v>
      </c>
      <c r="H22" s="47" t="s">
        <v>1012</v>
      </c>
      <c r="I22" s="46" t="s">
        <v>43</v>
      </c>
      <c r="J22" s="46">
        <v>2150</v>
      </c>
      <c r="K22" s="59">
        <f t="shared" si="1"/>
        <v>387</v>
      </c>
      <c r="L22" s="59">
        <f t="shared" si="2"/>
        <v>387</v>
      </c>
      <c r="M22" s="59">
        <f t="shared" si="4"/>
        <v>387</v>
      </c>
      <c r="N22" s="59"/>
      <c r="O22" s="59"/>
      <c r="P22" s="59"/>
      <c r="Q22" s="46"/>
      <c r="R22" s="46"/>
      <c r="S22" s="46"/>
      <c r="T22" s="46"/>
      <c r="U22" s="46"/>
      <c r="V22" s="46"/>
      <c r="W22" s="46" t="s">
        <v>257</v>
      </c>
      <c r="X22" s="46" t="s">
        <v>1013</v>
      </c>
      <c r="Y22" s="46" t="s">
        <v>855</v>
      </c>
      <c r="Z22" s="46" t="s">
        <v>856</v>
      </c>
      <c r="AA22" s="46"/>
      <c r="AB22" s="28"/>
      <c r="AC22" s="28"/>
    </row>
    <row r="23" s="27" customFormat="1" ht="123" customHeight="1" spans="1:29">
      <c r="A23" s="46">
        <v>36</v>
      </c>
      <c r="B23" s="46" t="s">
        <v>265</v>
      </c>
      <c r="C23" s="46" t="s">
        <v>261</v>
      </c>
      <c r="D23" s="46" t="s">
        <v>35</v>
      </c>
      <c r="E23" s="46" t="s">
        <v>39</v>
      </c>
      <c r="F23" s="46" t="s">
        <v>40</v>
      </c>
      <c r="G23" s="46" t="s">
        <v>262</v>
      </c>
      <c r="H23" s="47" t="s">
        <v>986</v>
      </c>
      <c r="I23" s="46" t="s">
        <v>43</v>
      </c>
      <c r="J23" s="46">
        <v>2200</v>
      </c>
      <c r="K23" s="59">
        <f t="shared" si="1"/>
        <v>396</v>
      </c>
      <c r="L23" s="59">
        <f t="shared" si="2"/>
        <v>396</v>
      </c>
      <c r="M23" s="59">
        <f t="shared" si="4"/>
        <v>396</v>
      </c>
      <c r="N23" s="59"/>
      <c r="O23" s="59"/>
      <c r="P23" s="59"/>
      <c r="Q23" s="46"/>
      <c r="R23" s="46"/>
      <c r="S23" s="46"/>
      <c r="T23" s="46"/>
      <c r="U23" s="46"/>
      <c r="V23" s="46"/>
      <c r="W23" s="46" t="s">
        <v>262</v>
      </c>
      <c r="X23" s="46" t="s">
        <v>1014</v>
      </c>
      <c r="Y23" s="46" t="s">
        <v>855</v>
      </c>
      <c r="Z23" s="46" t="s">
        <v>856</v>
      </c>
      <c r="AA23" s="46"/>
      <c r="AB23" s="28"/>
      <c r="AC23" s="28"/>
    </row>
    <row r="24" s="27" customFormat="1" ht="123" customHeight="1" spans="1:29">
      <c r="A24" s="46">
        <v>37</v>
      </c>
      <c r="B24" s="46" t="s">
        <v>270</v>
      </c>
      <c r="C24" s="46" t="s">
        <v>266</v>
      </c>
      <c r="D24" s="46" t="s">
        <v>35</v>
      </c>
      <c r="E24" s="46" t="s">
        <v>39</v>
      </c>
      <c r="F24" s="46" t="s">
        <v>40</v>
      </c>
      <c r="G24" s="46" t="s">
        <v>267</v>
      </c>
      <c r="H24" s="47" t="s">
        <v>1015</v>
      </c>
      <c r="I24" s="46" t="s">
        <v>43</v>
      </c>
      <c r="J24" s="46">
        <v>2000</v>
      </c>
      <c r="K24" s="59">
        <f t="shared" si="1"/>
        <v>360</v>
      </c>
      <c r="L24" s="59">
        <f t="shared" si="2"/>
        <v>360</v>
      </c>
      <c r="M24" s="59">
        <f t="shared" si="4"/>
        <v>360</v>
      </c>
      <c r="N24" s="59"/>
      <c r="O24" s="59"/>
      <c r="P24" s="59"/>
      <c r="Q24" s="46"/>
      <c r="R24" s="46"/>
      <c r="S24" s="46"/>
      <c r="T24" s="46"/>
      <c r="U24" s="46"/>
      <c r="V24" s="46"/>
      <c r="W24" s="46" t="s">
        <v>267</v>
      </c>
      <c r="X24" s="46" t="s">
        <v>1016</v>
      </c>
      <c r="Y24" s="46" t="s">
        <v>855</v>
      </c>
      <c r="Z24" s="46" t="s">
        <v>856</v>
      </c>
      <c r="AA24" s="46"/>
      <c r="AB24" s="28"/>
      <c r="AC24" s="28"/>
    </row>
    <row r="25" s="27" customFormat="1" ht="123" customHeight="1" spans="1:29">
      <c r="A25" s="46">
        <v>38</v>
      </c>
      <c r="B25" s="46" t="s">
        <v>274</v>
      </c>
      <c r="C25" s="46" t="s">
        <v>271</v>
      </c>
      <c r="D25" s="46" t="s">
        <v>35</v>
      </c>
      <c r="E25" s="46" t="s">
        <v>39</v>
      </c>
      <c r="F25" s="46" t="s">
        <v>40</v>
      </c>
      <c r="G25" s="46" t="s">
        <v>197</v>
      </c>
      <c r="H25" s="47" t="s">
        <v>1017</v>
      </c>
      <c r="I25" s="46" t="s">
        <v>43</v>
      </c>
      <c r="J25" s="46">
        <v>2045</v>
      </c>
      <c r="K25" s="59">
        <f t="shared" si="1"/>
        <v>306</v>
      </c>
      <c r="L25" s="59">
        <f t="shared" si="2"/>
        <v>306</v>
      </c>
      <c r="M25" s="59">
        <v>306</v>
      </c>
      <c r="N25" s="59"/>
      <c r="O25" s="59"/>
      <c r="P25" s="59"/>
      <c r="Q25" s="46"/>
      <c r="R25" s="46"/>
      <c r="S25" s="46"/>
      <c r="T25" s="46"/>
      <c r="U25" s="46"/>
      <c r="V25" s="46"/>
      <c r="W25" s="46" t="s">
        <v>197</v>
      </c>
      <c r="X25" s="46" t="s">
        <v>990</v>
      </c>
      <c r="Y25" s="46" t="s">
        <v>855</v>
      </c>
      <c r="Z25" s="46" t="s">
        <v>856</v>
      </c>
      <c r="AA25" s="46"/>
      <c r="AB25" s="28"/>
      <c r="AC25" s="28"/>
    </row>
    <row r="26" s="27" customFormat="1" ht="123" customHeight="1" spans="1:29">
      <c r="A26" s="46">
        <v>39</v>
      </c>
      <c r="B26" s="46" t="s">
        <v>278</v>
      </c>
      <c r="C26" s="46" t="s">
        <v>275</v>
      </c>
      <c r="D26" s="46" t="s">
        <v>35</v>
      </c>
      <c r="E26" s="46" t="s">
        <v>39</v>
      </c>
      <c r="F26" s="46" t="s">
        <v>40</v>
      </c>
      <c r="G26" s="46" t="s">
        <v>202</v>
      </c>
      <c r="H26" s="47" t="s">
        <v>1018</v>
      </c>
      <c r="I26" s="46" t="s">
        <v>43</v>
      </c>
      <c r="J26" s="46">
        <v>2600</v>
      </c>
      <c r="K26" s="59">
        <f t="shared" si="1"/>
        <v>390</v>
      </c>
      <c r="L26" s="59">
        <f t="shared" si="2"/>
        <v>390</v>
      </c>
      <c r="M26" s="59">
        <f t="shared" ref="M26:M32" si="5">J26*0.15</f>
        <v>390</v>
      </c>
      <c r="N26" s="59"/>
      <c r="O26" s="59"/>
      <c r="P26" s="59"/>
      <c r="Q26" s="46"/>
      <c r="R26" s="46"/>
      <c r="S26" s="46"/>
      <c r="T26" s="46"/>
      <c r="U26" s="46"/>
      <c r="V26" s="46"/>
      <c r="W26" s="46" t="s">
        <v>202</v>
      </c>
      <c r="X26" s="46" t="s">
        <v>993</v>
      </c>
      <c r="Y26" s="46" t="s">
        <v>855</v>
      </c>
      <c r="Z26" s="46" t="s">
        <v>856</v>
      </c>
      <c r="AA26" s="46"/>
      <c r="AB26" s="28"/>
      <c r="AC26" s="28"/>
    </row>
    <row r="27" s="27" customFormat="1" ht="123" customHeight="1" spans="1:29">
      <c r="A27" s="46">
        <v>40</v>
      </c>
      <c r="B27" s="46" t="s">
        <v>282</v>
      </c>
      <c r="C27" s="46" t="s">
        <v>279</v>
      </c>
      <c r="D27" s="46" t="s">
        <v>35</v>
      </c>
      <c r="E27" s="46" t="s">
        <v>39</v>
      </c>
      <c r="F27" s="46" t="s">
        <v>40</v>
      </c>
      <c r="G27" s="46" t="s">
        <v>212</v>
      </c>
      <c r="H27" s="47" t="s">
        <v>1019</v>
      </c>
      <c r="I27" s="46" t="s">
        <v>43</v>
      </c>
      <c r="J27" s="46">
        <v>4400</v>
      </c>
      <c r="K27" s="59">
        <f t="shared" si="1"/>
        <v>660</v>
      </c>
      <c r="L27" s="59">
        <f t="shared" si="2"/>
        <v>660</v>
      </c>
      <c r="M27" s="59">
        <f t="shared" si="5"/>
        <v>660</v>
      </c>
      <c r="N27" s="59"/>
      <c r="O27" s="59"/>
      <c r="P27" s="59"/>
      <c r="Q27" s="46"/>
      <c r="R27" s="46"/>
      <c r="S27" s="46"/>
      <c r="T27" s="46"/>
      <c r="U27" s="46"/>
      <c r="V27" s="46"/>
      <c r="W27" s="46" t="s">
        <v>212</v>
      </c>
      <c r="X27" s="46" t="s">
        <v>998</v>
      </c>
      <c r="Y27" s="46" t="s">
        <v>855</v>
      </c>
      <c r="Z27" s="46" t="s">
        <v>856</v>
      </c>
      <c r="AA27" s="46"/>
      <c r="AB27" s="28"/>
      <c r="AC27" s="28"/>
    </row>
    <row r="28" s="27" customFormat="1" ht="123" customHeight="1" spans="1:29">
      <c r="A28" s="46">
        <v>42</v>
      </c>
      <c r="B28" s="46" t="s">
        <v>291</v>
      </c>
      <c r="C28" s="46" t="s">
        <v>288</v>
      </c>
      <c r="D28" s="46" t="s">
        <v>35</v>
      </c>
      <c r="E28" s="46" t="s">
        <v>39</v>
      </c>
      <c r="F28" s="46" t="s">
        <v>40</v>
      </c>
      <c r="G28" s="46" t="s">
        <v>217</v>
      </c>
      <c r="H28" s="47" t="s">
        <v>289</v>
      </c>
      <c r="I28" s="46" t="s">
        <v>43</v>
      </c>
      <c r="J28" s="46">
        <v>1500</v>
      </c>
      <c r="K28" s="59">
        <f t="shared" si="1"/>
        <v>225</v>
      </c>
      <c r="L28" s="59">
        <f t="shared" si="2"/>
        <v>225</v>
      </c>
      <c r="M28" s="59">
        <v>225</v>
      </c>
      <c r="N28" s="59"/>
      <c r="O28" s="59"/>
      <c r="P28" s="59"/>
      <c r="Q28" s="46"/>
      <c r="R28" s="46"/>
      <c r="S28" s="46"/>
      <c r="T28" s="46"/>
      <c r="U28" s="46"/>
      <c r="V28" s="46"/>
      <c r="W28" s="46" t="s">
        <v>217</v>
      </c>
      <c r="X28" s="46" t="s">
        <v>999</v>
      </c>
      <c r="Y28" s="46" t="s">
        <v>855</v>
      </c>
      <c r="Z28" s="46" t="s">
        <v>856</v>
      </c>
      <c r="AA28" s="46"/>
      <c r="AB28" s="28"/>
      <c r="AC28" s="28"/>
    </row>
    <row r="29" s="27" customFormat="1" ht="123" customHeight="1" spans="1:29">
      <c r="A29" s="46">
        <v>43</v>
      </c>
      <c r="B29" s="46" t="s">
        <v>295</v>
      </c>
      <c r="C29" s="46" t="s">
        <v>292</v>
      </c>
      <c r="D29" s="46" t="s">
        <v>35</v>
      </c>
      <c r="E29" s="46" t="s">
        <v>39</v>
      </c>
      <c r="F29" s="46" t="s">
        <v>40</v>
      </c>
      <c r="G29" s="46" t="s">
        <v>227</v>
      </c>
      <c r="H29" s="47" t="s">
        <v>1020</v>
      </c>
      <c r="I29" s="46" t="s">
        <v>43</v>
      </c>
      <c r="J29" s="46">
        <v>2200</v>
      </c>
      <c r="K29" s="59">
        <f t="shared" si="1"/>
        <v>330</v>
      </c>
      <c r="L29" s="59">
        <f t="shared" si="2"/>
        <v>330</v>
      </c>
      <c r="M29" s="59">
        <f t="shared" si="5"/>
        <v>330</v>
      </c>
      <c r="N29" s="59"/>
      <c r="O29" s="59"/>
      <c r="P29" s="59"/>
      <c r="Q29" s="46"/>
      <c r="R29" s="46"/>
      <c r="S29" s="46"/>
      <c r="T29" s="46"/>
      <c r="U29" s="46"/>
      <c r="V29" s="46"/>
      <c r="W29" s="46" t="s">
        <v>227</v>
      </c>
      <c r="X29" s="46" t="s">
        <v>1001</v>
      </c>
      <c r="Y29" s="46" t="s">
        <v>855</v>
      </c>
      <c r="Z29" s="46" t="s">
        <v>856</v>
      </c>
      <c r="AA29" s="46"/>
      <c r="AB29" s="28"/>
      <c r="AC29" s="28"/>
    </row>
    <row r="30" s="28" customFormat="1" ht="123" customHeight="1" spans="1:27">
      <c r="A30" s="46">
        <v>45</v>
      </c>
      <c r="B30" s="46" t="s">
        <v>307</v>
      </c>
      <c r="C30" s="48" t="s">
        <v>304</v>
      </c>
      <c r="D30" s="46" t="s">
        <v>35</v>
      </c>
      <c r="E30" s="46" t="s">
        <v>39</v>
      </c>
      <c r="F30" s="46" t="s">
        <v>40</v>
      </c>
      <c r="G30" s="46" t="s">
        <v>252</v>
      </c>
      <c r="H30" s="47" t="s">
        <v>1021</v>
      </c>
      <c r="I30" s="46" t="s">
        <v>43</v>
      </c>
      <c r="J30" s="46">
        <v>3500</v>
      </c>
      <c r="K30" s="59">
        <f t="shared" si="1"/>
        <v>525</v>
      </c>
      <c r="L30" s="59">
        <f t="shared" si="2"/>
        <v>525</v>
      </c>
      <c r="M30" s="59">
        <f t="shared" si="5"/>
        <v>525</v>
      </c>
      <c r="N30" s="59"/>
      <c r="O30" s="59"/>
      <c r="P30" s="59"/>
      <c r="Q30" s="46"/>
      <c r="R30" s="46"/>
      <c r="S30" s="46"/>
      <c r="T30" s="46"/>
      <c r="U30" s="46"/>
      <c r="V30" s="46"/>
      <c r="W30" s="46" t="s">
        <v>252</v>
      </c>
      <c r="X30" s="46" t="s">
        <v>1010</v>
      </c>
      <c r="Y30" s="46" t="s">
        <v>855</v>
      </c>
      <c r="Z30" s="46" t="s">
        <v>856</v>
      </c>
      <c r="AA30" s="46"/>
    </row>
    <row r="31" s="28" customFormat="1" ht="123" customHeight="1" spans="1:27">
      <c r="A31" s="46">
        <v>46</v>
      </c>
      <c r="B31" s="46" t="s">
        <v>311</v>
      </c>
      <c r="C31" s="48" t="s">
        <v>308</v>
      </c>
      <c r="D31" s="46" t="s">
        <v>35</v>
      </c>
      <c r="E31" s="46" t="s">
        <v>39</v>
      </c>
      <c r="F31" s="46" t="s">
        <v>40</v>
      </c>
      <c r="G31" s="46" t="s">
        <v>257</v>
      </c>
      <c r="H31" s="47" t="s">
        <v>1022</v>
      </c>
      <c r="I31" s="46" t="s">
        <v>43</v>
      </c>
      <c r="J31" s="46">
        <v>1900</v>
      </c>
      <c r="K31" s="59">
        <f t="shared" si="1"/>
        <v>285</v>
      </c>
      <c r="L31" s="59">
        <f t="shared" si="2"/>
        <v>285</v>
      </c>
      <c r="M31" s="59">
        <f t="shared" si="5"/>
        <v>285</v>
      </c>
      <c r="N31" s="59"/>
      <c r="O31" s="59"/>
      <c r="P31" s="59"/>
      <c r="Q31" s="46"/>
      <c r="R31" s="46"/>
      <c r="S31" s="46"/>
      <c r="T31" s="46"/>
      <c r="U31" s="46"/>
      <c r="V31" s="46"/>
      <c r="W31" s="46" t="s">
        <v>257</v>
      </c>
      <c r="X31" s="46" t="s">
        <v>1013</v>
      </c>
      <c r="Y31" s="46" t="s">
        <v>855</v>
      </c>
      <c r="Z31" s="46" t="s">
        <v>856</v>
      </c>
      <c r="AA31" s="46"/>
    </row>
    <row r="32" s="27" customFormat="1" ht="123" customHeight="1" spans="1:29">
      <c r="A32" s="46">
        <v>47</v>
      </c>
      <c r="B32" s="46" t="s">
        <v>315</v>
      </c>
      <c r="C32" s="48" t="s">
        <v>312</v>
      </c>
      <c r="D32" s="46" t="s">
        <v>35</v>
      </c>
      <c r="E32" s="46" t="s">
        <v>39</v>
      </c>
      <c r="F32" s="46" t="s">
        <v>40</v>
      </c>
      <c r="G32" s="46" t="s">
        <v>262</v>
      </c>
      <c r="H32" s="47" t="s">
        <v>1023</v>
      </c>
      <c r="I32" s="46" t="s">
        <v>43</v>
      </c>
      <c r="J32" s="46">
        <v>2380</v>
      </c>
      <c r="K32" s="59">
        <f t="shared" si="1"/>
        <v>357</v>
      </c>
      <c r="L32" s="59">
        <f t="shared" si="2"/>
        <v>357</v>
      </c>
      <c r="M32" s="59">
        <f t="shared" si="5"/>
        <v>357</v>
      </c>
      <c r="N32" s="59"/>
      <c r="O32" s="59"/>
      <c r="P32" s="59"/>
      <c r="Q32" s="46"/>
      <c r="R32" s="46"/>
      <c r="S32" s="46"/>
      <c r="T32" s="46"/>
      <c r="U32" s="46"/>
      <c r="V32" s="46"/>
      <c r="W32" s="46" t="s">
        <v>262</v>
      </c>
      <c r="X32" s="46" t="s">
        <v>1014</v>
      </c>
      <c r="Y32" s="46" t="s">
        <v>855</v>
      </c>
      <c r="Z32" s="46" t="s">
        <v>856</v>
      </c>
      <c r="AA32" s="46"/>
      <c r="AB32" s="28"/>
      <c r="AC32" s="28"/>
    </row>
    <row r="33" s="27" customFormat="1" ht="123" customHeight="1" spans="1:29">
      <c r="A33" s="46">
        <v>48</v>
      </c>
      <c r="B33" s="46" t="s">
        <v>320</v>
      </c>
      <c r="C33" s="48" t="s">
        <v>316</v>
      </c>
      <c r="D33" s="46" t="s">
        <v>35</v>
      </c>
      <c r="E33" s="46" t="s">
        <v>39</v>
      </c>
      <c r="F33" s="46" t="s">
        <v>40</v>
      </c>
      <c r="G33" s="46" t="s">
        <v>267</v>
      </c>
      <c r="H33" s="47" t="s">
        <v>317</v>
      </c>
      <c r="I33" s="46" t="s">
        <v>43</v>
      </c>
      <c r="J33" s="46">
        <v>4110</v>
      </c>
      <c r="K33" s="59">
        <f t="shared" si="1"/>
        <v>616.5</v>
      </c>
      <c r="L33" s="59">
        <f t="shared" si="2"/>
        <v>616.5</v>
      </c>
      <c r="M33" s="59">
        <v>616.5</v>
      </c>
      <c r="N33" s="59"/>
      <c r="O33" s="59"/>
      <c r="P33" s="59"/>
      <c r="Q33" s="46"/>
      <c r="R33" s="46"/>
      <c r="S33" s="46"/>
      <c r="T33" s="46"/>
      <c r="U33" s="46"/>
      <c r="V33" s="46"/>
      <c r="W33" s="46" t="s">
        <v>267</v>
      </c>
      <c r="X33" s="46" t="s">
        <v>1016</v>
      </c>
      <c r="Y33" s="46" t="s">
        <v>855</v>
      </c>
      <c r="Z33" s="46" t="s">
        <v>856</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30" sqref="H30"/>
    </sheetView>
  </sheetViews>
  <sheetFormatPr defaultColWidth="9.23076923076923" defaultRowHeight="15.5"/>
  <cols>
    <col min="3" max="3" width="24.1461538461538" customWidth="1"/>
    <col min="4" max="6" width="9.23076923076923" customWidth="1"/>
    <col min="7" max="7" width="12.7692307692308" customWidth="1"/>
    <col min="8" max="8" width="63.4615384615385" customWidth="1"/>
    <col min="11" max="11" width="11.6153846153846" customWidth="1"/>
  </cols>
  <sheetData>
    <row r="2" ht="63" spans="1:15">
      <c r="A2" s="10" t="s">
        <v>2</v>
      </c>
      <c r="B2" s="10" t="s">
        <v>3</v>
      </c>
      <c r="C2" s="10" t="s">
        <v>4</v>
      </c>
      <c r="D2" s="10" t="s">
        <v>5</v>
      </c>
      <c r="E2" s="10" t="s">
        <v>6</v>
      </c>
      <c r="F2" s="10" t="s">
        <v>7</v>
      </c>
      <c r="G2" s="10" t="s">
        <v>8</v>
      </c>
      <c r="H2" s="10" t="s">
        <v>9</v>
      </c>
      <c r="I2" s="10" t="s">
        <v>10</v>
      </c>
      <c r="J2" s="10" t="s">
        <v>11</v>
      </c>
      <c r="K2" s="16" t="s">
        <v>12</v>
      </c>
      <c r="L2" s="17" t="s">
        <v>14</v>
      </c>
      <c r="M2" s="10" t="s">
        <v>17</v>
      </c>
      <c r="N2" s="10" t="s">
        <v>18</v>
      </c>
      <c r="O2" s="10" t="s">
        <v>19</v>
      </c>
    </row>
    <row r="3" ht="21" spans="1:15">
      <c r="A3" s="11" t="s">
        <v>33</v>
      </c>
      <c r="B3" s="11"/>
      <c r="C3" s="11"/>
      <c r="D3" s="11"/>
      <c r="E3" s="11"/>
      <c r="F3" s="11"/>
      <c r="G3" s="11"/>
      <c r="H3" s="11"/>
      <c r="I3" s="11"/>
      <c r="J3" s="11"/>
      <c r="K3" s="18"/>
      <c r="L3" s="18"/>
      <c r="M3" s="19"/>
      <c r="N3" s="19"/>
      <c r="O3" s="19"/>
    </row>
    <row r="4" ht="152" customHeight="1" spans="1:15">
      <c r="A4" s="12">
        <v>1</v>
      </c>
      <c r="B4" s="12"/>
      <c r="C4" s="13" t="s">
        <v>1073</v>
      </c>
      <c r="D4" s="12" t="s">
        <v>669</v>
      </c>
      <c r="E4" s="14" t="s">
        <v>697</v>
      </c>
      <c r="F4" s="14" t="s">
        <v>40</v>
      </c>
      <c r="G4" s="12" t="s">
        <v>1074</v>
      </c>
      <c r="H4" s="15" t="s">
        <v>1075</v>
      </c>
      <c r="I4" s="14" t="s">
        <v>561</v>
      </c>
      <c r="J4" s="14">
        <v>10</v>
      </c>
      <c r="K4" s="20">
        <v>716</v>
      </c>
      <c r="L4" s="12">
        <v>1140</v>
      </c>
      <c r="M4" s="12" t="s">
        <v>242</v>
      </c>
      <c r="N4" s="21"/>
      <c r="O4" s="12"/>
    </row>
    <row r="5" ht="152" customHeight="1" spans="1:15">
      <c r="A5" s="12">
        <v>2</v>
      </c>
      <c r="B5" s="12"/>
      <c r="C5" s="12" t="s">
        <v>1076</v>
      </c>
      <c r="D5" s="12" t="s">
        <v>35</v>
      </c>
      <c r="E5" s="14" t="s">
        <v>39</v>
      </c>
      <c r="F5" s="14" t="s">
        <v>40</v>
      </c>
      <c r="G5" s="12" t="s">
        <v>1077</v>
      </c>
      <c r="H5" s="15" t="s">
        <v>1078</v>
      </c>
      <c r="I5" s="14" t="s">
        <v>43</v>
      </c>
      <c r="J5" s="14">
        <v>6140</v>
      </c>
      <c r="K5" s="20">
        <v>1800</v>
      </c>
      <c r="L5" s="12"/>
      <c r="M5" s="12" t="s">
        <v>227</v>
      </c>
      <c r="N5" s="21"/>
      <c r="O5" s="12"/>
    </row>
    <row r="6" ht="67" customHeight="1" spans="1:15">
      <c r="A6" s="12">
        <v>3</v>
      </c>
      <c r="B6" s="12"/>
      <c r="C6" s="12" t="s">
        <v>1079</v>
      </c>
      <c r="D6" s="12" t="s">
        <v>669</v>
      </c>
      <c r="E6" s="14" t="s">
        <v>697</v>
      </c>
      <c r="F6" s="14" t="s">
        <v>40</v>
      </c>
      <c r="G6" s="12" t="s">
        <v>1080</v>
      </c>
      <c r="H6" s="15" t="s">
        <v>1081</v>
      </c>
      <c r="I6" s="14" t="s">
        <v>561</v>
      </c>
      <c r="J6" s="14">
        <v>15</v>
      </c>
      <c r="K6" s="20">
        <v>1000</v>
      </c>
      <c r="L6" s="12"/>
      <c r="M6" s="12" t="s">
        <v>192</v>
      </c>
      <c r="N6" s="21"/>
      <c r="O6" s="12"/>
    </row>
    <row r="7" ht="84" customHeight="1" spans="1:15">
      <c r="A7" s="12">
        <v>4</v>
      </c>
      <c r="B7" s="12"/>
      <c r="C7" s="12" t="s">
        <v>1082</v>
      </c>
      <c r="D7" s="12" t="s">
        <v>669</v>
      </c>
      <c r="E7" s="14" t="s">
        <v>697</v>
      </c>
      <c r="F7" s="14" t="s">
        <v>40</v>
      </c>
      <c r="G7" s="12" t="s">
        <v>540</v>
      </c>
      <c r="H7" s="15" t="s">
        <v>1083</v>
      </c>
      <c r="I7" s="14" t="s">
        <v>561</v>
      </c>
      <c r="J7" s="14">
        <v>13.5</v>
      </c>
      <c r="K7" s="20">
        <v>950</v>
      </c>
      <c r="L7" s="12"/>
      <c r="M7" s="12" t="s">
        <v>192</v>
      </c>
      <c r="N7" s="21"/>
      <c r="O7" s="12"/>
    </row>
    <row r="8" ht="124" customHeight="1" spans="1:15">
      <c r="A8" s="12">
        <v>5</v>
      </c>
      <c r="B8" s="12"/>
      <c r="C8" s="12" t="s">
        <v>1084</v>
      </c>
      <c r="D8" s="12" t="s">
        <v>669</v>
      </c>
      <c r="E8" s="14" t="s">
        <v>697</v>
      </c>
      <c r="F8" s="14" t="s">
        <v>40</v>
      </c>
      <c r="G8" s="12" t="s">
        <v>1085</v>
      </c>
      <c r="H8" s="15" t="s">
        <v>1086</v>
      </c>
      <c r="I8" s="14" t="s">
        <v>561</v>
      </c>
      <c r="J8" s="14">
        <v>6.7</v>
      </c>
      <c r="K8" s="20">
        <v>500</v>
      </c>
      <c r="L8" s="12"/>
      <c r="M8" s="12" t="s">
        <v>197</v>
      </c>
      <c r="N8" s="21"/>
      <c r="O8" s="12"/>
    </row>
    <row r="9" ht="85" customHeight="1" spans="1:15">
      <c r="A9" s="12">
        <v>6</v>
      </c>
      <c r="B9" s="12"/>
      <c r="C9" s="13" t="s">
        <v>546</v>
      </c>
      <c r="D9" s="12" t="s">
        <v>35</v>
      </c>
      <c r="E9" s="14" t="s">
        <v>547</v>
      </c>
      <c r="F9" s="14"/>
      <c r="G9" s="12" t="s">
        <v>378</v>
      </c>
      <c r="H9" s="15" t="s">
        <v>1087</v>
      </c>
      <c r="I9" s="14" t="s">
        <v>393</v>
      </c>
      <c r="J9" s="14">
        <v>4000</v>
      </c>
      <c r="K9" s="20">
        <v>800</v>
      </c>
      <c r="L9" s="12"/>
      <c r="M9" s="12" t="s">
        <v>202</v>
      </c>
      <c r="N9" s="21"/>
      <c r="O9" s="12" t="s">
        <v>1088</v>
      </c>
    </row>
    <row r="10" ht="75" customHeight="1" spans="1:15">
      <c r="A10" s="12">
        <v>7</v>
      </c>
      <c r="B10" s="12"/>
      <c r="C10" s="12" t="s">
        <v>1089</v>
      </c>
      <c r="D10" s="12" t="s">
        <v>35</v>
      </c>
      <c r="E10" s="14" t="s">
        <v>455</v>
      </c>
      <c r="F10" s="14"/>
      <c r="G10" s="12" t="s">
        <v>512</v>
      </c>
      <c r="H10" s="15" t="s">
        <v>1090</v>
      </c>
      <c r="I10" s="14" t="s">
        <v>444</v>
      </c>
      <c r="J10" s="14">
        <v>1</v>
      </c>
      <c r="K10" s="20">
        <v>160</v>
      </c>
      <c r="L10" s="12"/>
      <c r="M10" s="12" t="s">
        <v>202</v>
      </c>
      <c r="N10" s="21"/>
      <c r="O10" s="12"/>
    </row>
    <row r="11" ht="140" customHeight="1" spans="1:15">
      <c r="A11" s="12">
        <v>8</v>
      </c>
      <c r="B11" s="12"/>
      <c r="C11" s="12" t="s">
        <v>1091</v>
      </c>
      <c r="D11" s="12" t="s">
        <v>35</v>
      </c>
      <c r="E11" s="14" t="s">
        <v>39</v>
      </c>
      <c r="F11" s="14"/>
      <c r="G11" s="12" t="s">
        <v>1092</v>
      </c>
      <c r="H11" s="15" t="s">
        <v>1093</v>
      </c>
      <c r="I11" s="14" t="s">
        <v>561</v>
      </c>
      <c r="J11" s="14">
        <v>5</v>
      </c>
      <c r="K11" s="20">
        <v>1200</v>
      </c>
      <c r="L11" s="12"/>
      <c r="M11" s="12" t="s">
        <v>257</v>
      </c>
      <c r="N11" s="21"/>
      <c r="O11" s="12"/>
    </row>
    <row r="12" ht="90" customHeight="1" spans="1:15">
      <c r="A12" s="12">
        <v>9</v>
      </c>
      <c r="B12" s="12"/>
      <c r="C12" s="12" t="s">
        <v>1094</v>
      </c>
      <c r="D12" s="12" t="s">
        <v>35</v>
      </c>
      <c r="E12" s="14" t="s">
        <v>39</v>
      </c>
      <c r="F12" s="14"/>
      <c r="G12" s="12" t="s">
        <v>1095</v>
      </c>
      <c r="H12" s="15" t="s">
        <v>1096</v>
      </c>
      <c r="I12" s="14" t="s">
        <v>561</v>
      </c>
      <c r="J12" s="14">
        <v>5.7</v>
      </c>
      <c r="K12" s="20">
        <v>606</v>
      </c>
      <c r="L12" s="12"/>
      <c r="M12" s="12" t="s">
        <v>609</v>
      </c>
      <c r="N12" s="21"/>
      <c r="O12" s="12"/>
    </row>
    <row r="13" ht="244" customHeight="1" spans="1:15">
      <c r="A13" s="12">
        <v>10</v>
      </c>
      <c r="B13" s="12"/>
      <c r="C13" s="12" t="s">
        <v>925</v>
      </c>
      <c r="D13" s="12" t="s">
        <v>669</v>
      </c>
      <c r="E13" s="14" t="s">
        <v>697</v>
      </c>
      <c r="F13" s="14" t="s">
        <v>40</v>
      </c>
      <c r="G13" s="12" t="s">
        <v>414</v>
      </c>
      <c r="H13" s="15" t="s">
        <v>926</v>
      </c>
      <c r="I13" s="14" t="s">
        <v>43</v>
      </c>
      <c r="J13" s="14">
        <v>320</v>
      </c>
      <c r="K13" s="20">
        <v>2000</v>
      </c>
      <c r="L13" s="12"/>
      <c r="M13" s="12" t="s">
        <v>247</v>
      </c>
      <c r="N13" s="21"/>
      <c r="O13" s="12"/>
    </row>
    <row r="14" ht="180" customHeight="1" spans="1:15">
      <c r="A14" s="12">
        <v>11</v>
      </c>
      <c r="B14" s="12"/>
      <c r="C14" s="12" t="s">
        <v>927</v>
      </c>
      <c r="D14" s="12" t="s">
        <v>669</v>
      </c>
      <c r="E14" s="14" t="s">
        <v>928</v>
      </c>
      <c r="F14" s="14" t="s">
        <v>40</v>
      </c>
      <c r="G14" s="12" t="s">
        <v>442</v>
      </c>
      <c r="H14" s="15" t="s">
        <v>1097</v>
      </c>
      <c r="I14" s="14" t="s">
        <v>43</v>
      </c>
      <c r="J14" s="14">
        <v>170</v>
      </c>
      <c r="K14" s="20">
        <v>2870</v>
      </c>
      <c r="L14" s="12"/>
      <c r="M14" s="12" t="s">
        <v>212</v>
      </c>
      <c r="N14" s="21"/>
      <c r="O14" s="12"/>
    </row>
    <row r="15" ht="159" customHeight="1" spans="1:15">
      <c r="A15" s="12">
        <v>12</v>
      </c>
      <c r="B15" s="12"/>
      <c r="C15" s="12" t="s">
        <v>706</v>
      </c>
      <c r="D15" s="12" t="s">
        <v>669</v>
      </c>
      <c r="E15" s="14" t="s">
        <v>697</v>
      </c>
      <c r="F15" s="14" t="s">
        <v>40</v>
      </c>
      <c r="G15" s="12" t="s">
        <v>707</v>
      </c>
      <c r="H15" s="15" t="s">
        <v>937</v>
      </c>
      <c r="I15" s="14" t="s">
        <v>561</v>
      </c>
      <c r="J15" s="14">
        <v>8</v>
      </c>
      <c r="K15" s="20">
        <v>780</v>
      </c>
      <c r="L15" s="12"/>
      <c r="M15" s="12" t="s">
        <v>227</v>
      </c>
      <c r="N15" s="21"/>
      <c r="O15" s="12"/>
    </row>
    <row r="16" ht="90" customHeight="1" spans="1:15">
      <c r="A16" s="12">
        <v>13</v>
      </c>
      <c r="B16" s="12"/>
      <c r="C16" s="12" t="s">
        <v>1098</v>
      </c>
      <c r="D16" s="12" t="s">
        <v>669</v>
      </c>
      <c r="E16" s="14" t="s">
        <v>697</v>
      </c>
      <c r="F16" s="14" t="s">
        <v>40</v>
      </c>
      <c r="G16" s="12" t="s">
        <v>1099</v>
      </c>
      <c r="H16" s="15" t="s">
        <v>1100</v>
      </c>
      <c r="I16" s="14" t="s">
        <v>187</v>
      </c>
      <c r="J16" s="14">
        <v>292</v>
      </c>
      <c r="K16" s="20">
        <v>780</v>
      </c>
      <c r="L16" s="12"/>
      <c r="M16" s="12" t="s">
        <v>267</v>
      </c>
      <c r="N16" s="21"/>
      <c r="O16" s="12"/>
    </row>
    <row r="17" ht="92" customHeight="1" spans="1:15">
      <c r="A17" s="12">
        <v>14</v>
      </c>
      <c r="B17" s="12"/>
      <c r="C17" s="12" t="s">
        <v>1101</v>
      </c>
      <c r="D17" s="12" t="s">
        <v>35</v>
      </c>
      <c r="E17" s="14" t="s">
        <v>39</v>
      </c>
      <c r="F17" s="14" t="s">
        <v>40</v>
      </c>
      <c r="G17" s="12" t="s">
        <v>1102</v>
      </c>
      <c r="H17" s="15" t="s">
        <v>1103</v>
      </c>
      <c r="I17" s="14" t="s">
        <v>393</v>
      </c>
      <c r="J17" s="14">
        <v>7000</v>
      </c>
      <c r="K17" s="20">
        <v>1000</v>
      </c>
      <c r="L17" s="12"/>
      <c r="M17" s="12" t="s">
        <v>262</v>
      </c>
      <c r="N17" s="21"/>
      <c r="O17" s="12"/>
    </row>
    <row r="18" ht="134" customHeight="1" spans="1:15">
      <c r="A18" s="12">
        <v>15</v>
      </c>
      <c r="B18" s="12"/>
      <c r="C18" s="12" t="s">
        <v>1104</v>
      </c>
      <c r="D18" s="12" t="s">
        <v>669</v>
      </c>
      <c r="E18" s="14" t="s">
        <v>39</v>
      </c>
      <c r="F18" s="14" t="s">
        <v>40</v>
      </c>
      <c r="G18" s="12" t="s">
        <v>1105</v>
      </c>
      <c r="H18" s="15" t="s">
        <v>1106</v>
      </c>
      <c r="I18" s="14" t="s">
        <v>43</v>
      </c>
      <c r="J18" s="14">
        <v>250</v>
      </c>
      <c r="K18" s="20">
        <v>1670</v>
      </c>
      <c r="L18" s="12"/>
      <c r="M18" s="12" t="s">
        <v>262</v>
      </c>
      <c r="N18" s="21"/>
      <c r="O18" s="12"/>
    </row>
    <row r="19" ht="134" customHeight="1" spans="1:15">
      <c r="A19" s="12">
        <v>16</v>
      </c>
      <c r="B19" s="12"/>
      <c r="C19" s="12" t="s">
        <v>1107</v>
      </c>
      <c r="D19" s="12" t="s">
        <v>669</v>
      </c>
      <c r="E19" s="14" t="s">
        <v>39</v>
      </c>
      <c r="F19" s="14" t="s">
        <v>40</v>
      </c>
      <c r="G19" s="12" t="s">
        <v>1108</v>
      </c>
      <c r="H19" s="15" t="s">
        <v>1109</v>
      </c>
      <c r="I19" s="14" t="s">
        <v>43</v>
      </c>
      <c r="J19" s="14">
        <v>200</v>
      </c>
      <c r="K19" s="20">
        <v>600</v>
      </c>
      <c r="L19" s="12"/>
      <c r="M19" s="12" t="s">
        <v>262</v>
      </c>
      <c r="N19" s="21"/>
      <c r="O19" s="12"/>
    </row>
    <row r="20" ht="134" customHeight="1" spans="1:15">
      <c r="A20" s="12">
        <v>17</v>
      </c>
      <c r="B20" s="12"/>
      <c r="C20" s="12" t="s">
        <v>1110</v>
      </c>
      <c r="D20" s="12" t="s">
        <v>35</v>
      </c>
      <c r="E20" s="14" t="s">
        <v>39</v>
      </c>
      <c r="F20" s="14" t="s">
        <v>40</v>
      </c>
      <c r="G20" s="12" t="s">
        <v>1111</v>
      </c>
      <c r="H20" s="15" t="s">
        <v>1112</v>
      </c>
      <c r="I20" s="14" t="s">
        <v>421</v>
      </c>
      <c r="J20" s="14" t="s">
        <v>1113</v>
      </c>
      <c r="K20" s="20">
        <v>300</v>
      </c>
      <c r="L20" s="12"/>
      <c r="M20" s="12" t="s">
        <v>222</v>
      </c>
      <c r="N20" s="21"/>
      <c r="O20" s="12"/>
    </row>
    <row r="21" ht="134" customHeight="1" spans="1:15">
      <c r="A21" s="12">
        <v>18</v>
      </c>
      <c r="B21" s="12"/>
      <c r="C21" s="13" t="s">
        <v>406</v>
      </c>
      <c r="D21" s="12" t="s">
        <v>35</v>
      </c>
      <c r="E21" s="14" t="s">
        <v>407</v>
      </c>
      <c r="F21" s="14" t="s">
        <v>40</v>
      </c>
      <c r="G21" s="12" t="s">
        <v>408</v>
      </c>
      <c r="H21" s="15" t="s">
        <v>409</v>
      </c>
      <c r="I21" s="14" t="s">
        <v>164</v>
      </c>
      <c r="J21" s="14">
        <v>4</v>
      </c>
      <c r="K21" s="20">
        <v>550</v>
      </c>
      <c r="L21" s="12"/>
      <c r="M21" s="12" t="s">
        <v>222</v>
      </c>
      <c r="N21" s="21"/>
      <c r="O21" s="12"/>
    </row>
    <row r="22" ht="134" customHeight="1" spans="1:15">
      <c r="A22" s="12">
        <v>19</v>
      </c>
      <c r="B22" s="12"/>
      <c r="C22" s="13" t="s">
        <v>372</v>
      </c>
      <c r="D22" s="12" t="s">
        <v>35</v>
      </c>
      <c r="E22" s="14" t="s">
        <v>39</v>
      </c>
      <c r="F22" s="14" t="s">
        <v>40</v>
      </c>
      <c r="G22" s="12" t="s">
        <v>373</v>
      </c>
      <c r="H22" s="15" t="s">
        <v>374</v>
      </c>
      <c r="I22" s="14" t="s">
        <v>164</v>
      </c>
      <c r="J22" s="14">
        <v>75</v>
      </c>
      <c r="K22" s="20">
        <v>1875</v>
      </c>
      <c r="L22" s="12"/>
      <c r="M22" s="12" t="s">
        <v>222</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30" sqref="H30"/>
    </sheetView>
  </sheetViews>
  <sheetFormatPr defaultColWidth="9.23076923076923" defaultRowHeight="15.5" outlineLevelCol="3"/>
  <cols>
    <col min="2" max="2" width="14.9230769230769" customWidth="1"/>
    <col min="3" max="3" width="17.5384615384615" style="2" customWidth="1"/>
    <col min="4" max="4" width="12.6153846153846"/>
  </cols>
  <sheetData>
    <row r="1" spans="1:4">
      <c r="A1" t="s">
        <v>2</v>
      </c>
      <c r="B1" t="s">
        <v>1114</v>
      </c>
      <c r="C1" s="2" t="s">
        <v>1115</v>
      </c>
      <c r="D1" t="s">
        <v>1116</v>
      </c>
    </row>
    <row r="2" spans="3:3">
      <c r="C2" s="2" t="e">
        <f>SUM(C3:C33)</f>
        <v>#REF!</v>
      </c>
    </row>
    <row r="3" spans="1:4">
      <c r="A3" s="5">
        <v>1</v>
      </c>
      <c r="B3" s="6" t="s">
        <v>477</v>
      </c>
      <c r="C3" s="7" t="e">
        <f>SUM('2025年项目提取'!#REF!,'2025年项目提取'!K111,'2025年项目提取'!K136)</f>
        <v>#REF!</v>
      </c>
      <c r="D3" s="8" t="e">
        <f>C3/C2</f>
        <v>#REF!</v>
      </c>
    </row>
    <row r="4" spans="1:4">
      <c r="A4" s="5">
        <v>2</v>
      </c>
      <c r="B4" s="5" t="s">
        <v>192</v>
      </c>
      <c r="C4" s="7">
        <f>SUM('2025年项目提取'!K32,'2025年项目提取'!K75,'2025年项目提取'!K79,'2025年项目提取'!K82,'2025年项目提取'!K115,'2025年项目提取'!K116)</f>
        <v>1553</v>
      </c>
      <c r="D4" s="8" t="e">
        <f>C4/C2</f>
        <v>#REF!</v>
      </c>
    </row>
    <row r="5" spans="1:4">
      <c r="A5" s="5">
        <v>3</v>
      </c>
      <c r="B5" s="5" t="s">
        <v>197</v>
      </c>
      <c r="C5" s="5">
        <f>SUM('2025年项目提取'!K33,'2025年项目提取'!K61,'2025年项目提取'!K108,'2025年项目提取'!K123)</f>
        <v>2827.89</v>
      </c>
      <c r="D5" s="8" t="e">
        <f>C5/C2</f>
        <v>#REF!</v>
      </c>
    </row>
    <row r="6" spans="1:4">
      <c r="A6" s="5">
        <v>4</v>
      </c>
      <c r="B6" s="5" t="s">
        <v>202</v>
      </c>
      <c r="C6" s="7">
        <f>SUM('2025年项目提取'!K34,'2025年项目提取'!K49,'2025年项目提取'!K58,'2025年项目提取'!K84)</f>
        <v>1998</v>
      </c>
      <c r="D6" s="8" t="e">
        <f>C6/C2</f>
        <v>#REF!</v>
      </c>
    </row>
    <row r="7" spans="1:4">
      <c r="A7" s="5">
        <v>5</v>
      </c>
      <c r="B7" s="5" t="s">
        <v>207</v>
      </c>
      <c r="C7" s="7">
        <f>SUM('2025年项目提取'!K35,'2025年项目提取'!K85,'2025年项目提取'!K132)</f>
        <v>1418</v>
      </c>
      <c r="D7" s="8" t="e">
        <f>C7/C2</f>
        <v>#REF!</v>
      </c>
    </row>
    <row r="8" spans="1:4">
      <c r="A8" s="5">
        <v>6</v>
      </c>
      <c r="B8" s="5" t="s">
        <v>212</v>
      </c>
      <c r="C8" s="7">
        <f>SUM('2025年项目提取'!K36,'2025年项目提取'!K50,'2025年项目提取'!K86,'2025年项目提取'!K109,'2025年项目提取'!K135)</f>
        <v>4936.8</v>
      </c>
      <c r="D8" s="8" t="e">
        <f>C8/C2</f>
        <v>#REF!</v>
      </c>
    </row>
    <row r="9" spans="1:4">
      <c r="A9" s="5">
        <v>7</v>
      </c>
      <c r="B9" s="9" t="s">
        <v>284</v>
      </c>
      <c r="C9" s="7" t="e">
        <f>SUM('2025年项目提取'!K62,'2025年项目提取'!K67,'2025年项目提取'!#REF!,'2025年项目提取'!#REF!,'2025年项目提取'!K134)</f>
        <v>#REF!</v>
      </c>
      <c r="D9" s="8" t="e">
        <f>C9/C2</f>
        <v>#REF!</v>
      </c>
    </row>
    <row r="10" spans="1:4">
      <c r="A10" s="5">
        <v>8</v>
      </c>
      <c r="B10" s="6" t="s">
        <v>217</v>
      </c>
      <c r="C10" s="7">
        <f>SUM('2025年项目提取'!K37,'2025年项目提取'!K51,'2025年项目提取'!K127)</f>
        <v>885</v>
      </c>
      <c r="D10" s="8" t="e">
        <f>C10/C2</f>
        <v>#REF!</v>
      </c>
    </row>
    <row r="11" spans="1:4">
      <c r="A11" s="5">
        <v>9</v>
      </c>
      <c r="B11" s="5" t="s">
        <v>222</v>
      </c>
      <c r="C11" s="7">
        <f>SUM('2025年项目提取'!K38,'2025年项目提取'!K78,'2025年项目提取'!K87,'2025年项目提取'!K113,'2025年项目提取'!K131)</f>
        <v>1867.5</v>
      </c>
      <c r="D11" s="8" t="e">
        <f>C11/C2</f>
        <v>#REF!</v>
      </c>
    </row>
    <row r="12" spans="1:4">
      <c r="A12" s="5">
        <v>10</v>
      </c>
      <c r="B12" s="5" t="s">
        <v>589</v>
      </c>
      <c r="C12" s="7">
        <f>SUM('2025年项目提取'!K88)</f>
        <v>675</v>
      </c>
      <c r="D12" s="8" t="e">
        <f>C12/C2</f>
        <v>#REF!</v>
      </c>
    </row>
    <row r="13" spans="1:4">
      <c r="A13" s="5">
        <v>11</v>
      </c>
      <c r="B13" s="5" t="s">
        <v>227</v>
      </c>
      <c r="C13" s="5" t="e">
        <f>SUM('2025年项目提取'!K39,'2025年项目提取'!K117,'2025年项目提取'!#REF!,'2025年项目提取'!K137)</f>
        <v>#REF!</v>
      </c>
      <c r="D13" s="8" t="e">
        <f>C13/C2</f>
        <v>#REF!</v>
      </c>
    </row>
    <row r="14" spans="1:4">
      <c r="A14" s="5">
        <v>12</v>
      </c>
      <c r="B14" s="5" t="s">
        <v>232</v>
      </c>
      <c r="C14" s="7">
        <f>SUM('2025年项目提取'!K40,'2025年项目提取'!K97)</f>
        <v>1146</v>
      </c>
      <c r="D14" s="8" t="e">
        <f>C14/C2</f>
        <v>#REF!</v>
      </c>
    </row>
    <row r="15" spans="1:4">
      <c r="A15" s="5">
        <v>13</v>
      </c>
      <c r="B15" s="5" t="s">
        <v>237</v>
      </c>
      <c r="C15" s="7">
        <f>SUM('2025年项目提取'!K41,'2025年项目提取'!K90,'2025年项目提取'!K130)</f>
        <v>1921</v>
      </c>
      <c r="D15" s="8" t="e">
        <f>C15/C2</f>
        <v>#REF!</v>
      </c>
    </row>
    <row r="16" spans="1:4">
      <c r="A16" s="5">
        <v>14</v>
      </c>
      <c r="B16" s="5" t="s">
        <v>242</v>
      </c>
      <c r="C16" s="7" t="e">
        <f>SUM('2025年项目提取'!K42,'2025年项目提取'!#REF!,'2025年项目提取'!K70,'2025年项目提取'!K91,'2025年项目提取'!K124)</f>
        <v>#REF!</v>
      </c>
      <c r="D16" s="8" t="e">
        <f>C16/C2</f>
        <v>#REF!</v>
      </c>
    </row>
    <row r="17" spans="1:4">
      <c r="A17" s="5">
        <v>15</v>
      </c>
      <c r="B17" s="5" t="s">
        <v>247</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609</v>
      </c>
      <c r="C18" s="7" t="e">
        <f>SUM('2025年项目提取'!#REF!,'2025年项目提取'!K138)</f>
        <v>#REF!</v>
      </c>
      <c r="D18" s="8" t="e">
        <f>C18/C2</f>
        <v>#REF!</v>
      </c>
    </row>
    <row r="19" spans="1:4">
      <c r="A19" s="5">
        <v>17</v>
      </c>
      <c r="B19" s="9" t="s">
        <v>1064</v>
      </c>
      <c r="C19" s="7">
        <f>SUM('2025年项目提取'!K126)</f>
        <v>400</v>
      </c>
      <c r="D19" s="8" t="e">
        <f>C19/C2</f>
        <v>#REF!</v>
      </c>
    </row>
    <row r="20" spans="1:4">
      <c r="A20" s="5">
        <v>18</v>
      </c>
      <c r="B20" s="5" t="s">
        <v>252</v>
      </c>
      <c r="C20" s="7">
        <f>SUM('2025年项目提取'!K44,'2025年项目提取'!K71,'2025年项目提取'!K72,'2025年项目提取'!K129)</f>
        <v>5696</v>
      </c>
      <c r="D20" s="8" t="e">
        <f>C20/C2</f>
        <v>#REF!</v>
      </c>
    </row>
    <row r="21" spans="1:4">
      <c r="A21" s="5">
        <v>19</v>
      </c>
      <c r="B21" s="5" t="s">
        <v>257</v>
      </c>
      <c r="C21" s="7">
        <f>SUM('2025年项目提取'!K45,'2025年项目提取'!K94,'2025年项目提取'!K125)</f>
        <v>1137</v>
      </c>
      <c r="D21" s="8" t="e">
        <f>C21/C2</f>
        <v>#REF!</v>
      </c>
    </row>
    <row r="22" spans="1:4">
      <c r="A22" s="5">
        <v>20</v>
      </c>
      <c r="B22" s="5" t="s">
        <v>262</v>
      </c>
      <c r="C22" s="5">
        <f>SUM('2025年项目提取'!K46,'2025年项目提取'!K55,'2025年项目提取'!K128)</f>
        <v>1148</v>
      </c>
      <c r="D22" s="8" t="e">
        <f>C22/C2</f>
        <v>#REF!</v>
      </c>
    </row>
    <row r="23" spans="1:4">
      <c r="A23" s="5">
        <v>21</v>
      </c>
      <c r="B23" s="5" t="s">
        <v>267</v>
      </c>
      <c r="C23" s="5" t="e">
        <f>SUM('2025年项目提取'!K47,'2025年项目提取'!K56,'2025年项目提取'!K77,'2025年项目提取'!#REF!,'2025年项目提取'!K96,'2025年项目提取'!K133)</f>
        <v>#REF!</v>
      </c>
      <c r="D23" s="8" t="e">
        <f>C23/C2</f>
        <v>#REF!</v>
      </c>
    </row>
    <row r="24" spans="1:4">
      <c r="A24" s="5">
        <v>22</v>
      </c>
      <c r="B24" s="5" t="s">
        <v>121</v>
      </c>
      <c r="C24" s="5">
        <f>SUM('2025年项目提取'!K64,'2025年项目提取'!K65,'2025年项目提取'!K66,'2025年项目提取'!K68,'2025年项目提取'!K81)</f>
        <v>5100</v>
      </c>
      <c r="D24" s="8" t="e">
        <f>C24/C2</f>
        <v>#REF!</v>
      </c>
    </row>
    <row r="25" spans="1:4">
      <c r="A25" s="5">
        <v>23</v>
      </c>
      <c r="B25" s="5" t="s">
        <v>341</v>
      </c>
      <c r="C25" s="5">
        <f>SUM('2025年项目提取'!K59)</f>
        <v>85</v>
      </c>
      <c r="D25" s="8" t="e">
        <f>C25/C2</f>
        <v>#REF!</v>
      </c>
    </row>
    <row r="26" spans="1:4">
      <c r="A26" s="5">
        <v>24</v>
      </c>
      <c r="B26" s="5" t="s">
        <v>1117</v>
      </c>
      <c r="C26" s="5">
        <f>SUM('2025年项目提取'!K118)</f>
        <v>200</v>
      </c>
      <c r="D26" s="8" t="e">
        <f>C26/C2</f>
        <v>#REF!</v>
      </c>
    </row>
    <row r="27" spans="1:4">
      <c r="A27" s="5">
        <v>25</v>
      </c>
      <c r="B27" s="5" t="s">
        <v>727</v>
      </c>
      <c r="C27" s="5">
        <f>SUM('2025年项目提取'!K120,'2025年项目提取'!K121)</f>
        <v>1983.61</v>
      </c>
      <c r="D27" s="8" t="e">
        <f>C27/C2</f>
        <v>#REF!</v>
      </c>
    </row>
    <row r="28" spans="1:4">
      <c r="A28" s="5">
        <v>26</v>
      </c>
      <c r="B28" s="5" t="s">
        <v>80</v>
      </c>
      <c r="C28" s="5">
        <f>SUM('2025年项目提取'!K30,'2025年项目提取'!K80)</f>
        <v>1395</v>
      </c>
      <c r="D28" s="8" t="e">
        <f>C28/C2</f>
        <v>#REF!</v>
      </c>
    </row>
    <row r="29" spans="1:4">
      <c r="A29" s="5">
        <v>27</v>
      </c>
      <c r="B29" s="5" t="s">
        <v>644</v>
      </c>
      <c r="C29" s="5">
        <f>SUM('2025年项目提取'!K100,'2025年项目提取'!K101,'2025年项目提取'!K102,'2025年项目提取'!K103,'2025年项目提取'!K104,'2025年项目提取'!K105)</f>
        <v>3434.1</v>
      </c>
      <c r="D29" s="8" t="e">
        <f>C29/C2</f>
        <v>#REF!</v>
      </c>
    </row>
    <row r="30" spans="1:4">
      <c r="A30" s="5">
        <v>28</v>
      </c>
      <c r="B30" s="5" t="s">
        <v>536</v>
      </c>
      <c r="C30" s="5">
        <f>SUM('2025年项目提取'!K142)</f>
        <v>48</v>
      </c>
      <c r="D30" s="8" t="e">
        <f>C30/C2</f>
        <v>#REF!</v>
      </c>
    </row>
    <row r="31" spans="1:4">
      <c r="A31" s="5">
        <v>29</v>
      </c>
      <c r="B31" s="5" t="s">
        <v>636</v>
      </c>
      <c r="C31" s="5">
        <f>SUM('2025年项目提取'!K99)</f>
        <v>1894.8</v>
      </c>
      <c r="D31" s="8" t="e">
        <f>C31/C2</f>
        <v>#REF!</v>
      </c>
    </row>
    <row r="32" spans="1:4">
      <c r="A32" s="5">
        <v>30</v>
      </c>
      <c r="B32" s="5" t="s">
        <v>812</v>
      </c>
      <c r="C32" s="5">
        <f>SUM('2025年项目提取'!K140)</f>
        <v>1800</v>
      </c>
      <c r="D32" s="8" t="e">
        <f>C32/C2</f>
        <v>#REF!</v>
      </c>
    </row>
    <row r="33" spans="1:4">
      <c r="A33" s="5">
        <v>31</v>
      </c>
      <c r="B33" s="5" t="s">
        <v>1118</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30" sqref="H30"/>
    </sheetView>
  </sheetViews>
  <sheetFormatPr defaultColWidth="9" defaultRowHeight="15.5" outlineLevelCol="6"/>
  <cols>
    <col min="1" max="7" width="31.5" style="2" customWidth="1"/>
    <col min="8" max="16384" width="9" style="2"/>
  </cols>
  <sheetData>
    <row r="1" s="1" customFormat="1" spans="1:7">
      <c r="A1" s="3" t="s">
        <v>35</v>
      </c>
      <c r="B1" s="3" t="s">
        <v>632</v>
      </c>
      <c r="C1" s="3" t="s">
        <v>669</v>
      </c>
      <c r="D1" s="3" t="s">
        <v>815</v>
      </c>
      <c r="E1" s="3" t="s">
        <v>808</v>
      </c>
      <c r="F1" s="3" t="s">
        <v>826</v>
      </c>
      <c r="G1" s="3" t="s">
        <v>835</v>
      </c>
    </row>
    <row r="2" spans="1:7">
      <c r="A2" s="4" t="s">
        <v>39</v>
      </c>
      <c r="B2" s="4" t="s">
        <v>648</v>
      </c>
      <c r="C2" s="4" t="s">
        <v>1119</v>
      </c>
      <c r="D2" s="4" t="s">
        <v>1120</v>
      </c>
      <c r="E2" s="4" t="s">
        <v>1121</v>
      </c>
      <c r="F2" s="4" t="s">
        <v>826</v>
      </c>
      <c r="G2" s="4" t="s">
        <v>1122</v>
      </c>
    </row>
    <row r="3" spans="1:7">
      <c r="A3" s="4" t="s">
        <v>71</v>
      </c>
      <c r="B3" s="4" t="s">
        <v>633</v>
      </c>
      <c r="C3" s="4" t="s">
        <v>673</v>
      </c>
      <c r="D3" s="4" t="s">
        <v>1123</v>
      </c>
      <c r="E3" s="4" t="s">
        <v>809</v>
      </c>
      <c r="F3" s="4"/>
      <c r="G3" s="4" t="s">
        <v>836</v>
      </c>
    </row>
    <row r="4" spans="1:7">
      <c r="A4" s="4" t="s">
        <v>1124</v>
      </c>
      <c r="B4" s="4" t="s">
        <v>1125</v>
      </c>
      <c r="C4" s="4" t="s">
        <v>1126</v>
      </c>
      <c r="D4" s="4" t="s">
        <v>818</v>
      </c>
      <c r="E4" s="4"/>
      <c r="F4" s="4"/>
      <c r="G4" s="4" t="s">
        <v>835</v>
      </c>
    </row>
    <row r="5" spans="1:7">
      <c r="A5" s="4" t="s">
        <v>1127</v>
      </c>
      <c r="B5" s="4" t="s">
        <v>841</v>
      </c>
      <c r="C5" s="4" t="s">
        <v>722</v>
      </c>
      <c r="D5" s="4"/>
      <c r="E5" s="4"/>
      <c r="F5" s="4"/>
      <c r="G5" s="4"/>
    </row>
    <row r="6" spans="1:7">
      <c r="A6" s="4" t="s">
        <v>547</v>
      </c>
      <c r="B6" s="4" t="s">
        <v>1128</v>
      </c>
      <c r="C6" s="4" t="s">
        <v>1129</v>
      </c>
      <c r="D6" s="4"/>
      <c r="E6" s="4"/>
      <c r="F6" s="4"/>
      <c r="G6" s="4"/>
    </row>
    <row r="7" spans="1:7">
      <c r="A7" s="4" t="s">
        <v>1130</v>
      </c>
      <c r="B7" s="4" t="s">
        <v>1131</v>
      </c>
      <c r="C7" s="4" t="s">
        <v>1132</v>
      </c>
      <c r="D7" s="4"/>
      <c r="E7" s="4"/>
      <c r="F7" s="4"/>
      <c r="G7" s="4"/>
    </row>
    <row r="8" spans="1:7">
      <c r="A8" s="4" t="s">
        <v>476</v>
      </c>
      <c r="B8" s="4" t="s">
        <v>661</v>
      </c>
      <c r="C8" s="4" t="s">
        <v>1133</v>
      </c>
      <c r="D8" s="4"/>
      <c r="E8" s="4"/>
      <c r="F8" s="4"/>
      <c r="G8" s="4"/>
    </row>
    <row r="9" spans="1:7">
      <c r="A9" s="4" t="s">
        <v>469</v>
      </c>
      <c r="B9" s="4" t="s">
        <v>1134</v>
      </c>
      <c r="C9" s="4" t="s">
        <v>1135</v>
      </c>
      <c r="D9" s="4"/>
      <c r="E9" s="4"/>
      <c r="F9" s="4"/>
      <c r="G9" s="4"/>
    </row>
    <row r="10" spans="1:7">
      <c r="A10" s="4" t="s">
        <v>390</v>
      </c>
      <c r="B10" s="4" t="s">
        <v>1136</v>
      </c>
      <c r="C10" s="4" t="s">
        <v>715</v>
      </c>
      <c r="D10" s="4"/>
      <c r="E10" s="4"/>
      <c r="F10" s="4"/>
      <c r="G10" s="4"/>
    </row>
    <row r="11" spans="1:7">
      <c r="A11" s="4" t="s">
        <v>1137</v>
      </c>
      <c r="B11" s="4" t="s">
        <v>1138</v>
      </c>
      <c r="C11" s="4" t="s">
        <v>697</v>
      </c>
      <c r="D11" s="4"/>
      <c r="E11" s="4"/>
      <c r="F11" s="4"/>
      <c r="G11" s="4"/>
    </row>
    <row r="12" spans="1:7">
      <c r="A12" s="4" t="s">
        <v>1139</v>
      </c>
      <c r="B12" s="4" t="s">
        <v>640</v>
      </c>
      <c r="C12" s="4" t="s">
        <v>1140</v>
      </c>
      <c r="D12" s="4"/>
      <c r="E12" s="4"/>
      <c r="F12" s="4"/>
      <c r="G12" s="4"/>
    </row>
    <row r="13" spans="1:7">
      <c r="A13" s="4" t="s">
        <v>455</v>
      </c>
      <c r="B13" s="4"/>
      <c r="C13" s="4" t="s">
        <v>928</v>
      </c>
      <c r="D13" s="4"/>
      <c r="E13" s="4"/>
      <c r="F13" s="4"/>
      <c r="G13" s="4"/>
    </row>
    <row r="14" spans="1:7">
      <c r="A14" s="4" t="s">
        <v>907</v>
      </c>
      <c r="B14" s="4"/>
      <c r="C14" s="4" t="s">
        <v>1141</v>
      </c>
      <c r="D14" s="4"/>
      <c r="E14" s="4"/>
      <c r="F14" s="4"/>
      <c r="G14" s="4"/>
    </row>
    <row r="15" spans="1:7">
      <c r="A15" s="4" t="s">
        <v>424</v>
      </c>
      <c r="B15" s="4"/>
      <c r="C15" s="4" t="s">
        <v>1142</v>
      </c>
      <c r="D15" s="4"/>
      <c r="E15" s="4"/>
      <c r="F15" s="4"/>
      <c r="G15" s="4"/>
    </row>
    <row r="16" spans="1:7">
      <c r="A16" s="4" t="s">
        <v>1143</v>
      </c>
      <c r="B16" s="4"/>
      <c r="C16" s="4" t="s">
        <v>1144</v>
      </c>
      <c r="D16" s="4"/>
      <c r="E16" s="4"/>
      <c r="F16" s="4"/>
      <c r="G16" s="4"/>
    </row>
    <row r="17" spans="1:7">
      <c r="A17" s="4" t="s">
        <v>95</v>
      </c>
      <c r="B17" s="4"/>
      <c r="C17" s="4" t="s">
        <v>1145</v>
      </c>
      <c r="D17" s="4"/>
      <c r="E17" s="4"/>
      <c r="F17" s="4"/>
      <c r="G17" s="4"/>
    </row>
    <row r="18" spans="1:7">
      <c r="A18" s="4" t="s">
        <v>184</v>
      </c>
      <c r="B18" s="4"/>
      <c r="C18" s="4" t="s">
        <v>1146</v>
      </c>
      <c r="D18" s="4"/>
      <c r="E18" s="4"/>
      <c r="F18" s="4"/>
      <c r="G18" s="4"/>
    </row>
    <row r="19" spans="1:7">
      <c r="A19" s="4" t="s">
        <v>1147</v>
      </c>
      <c r="B19" s="4"/>
      <c r="C19" s="4" t="s">
        <v>1148</v>
      </c>
      <c r="D19" s="4"/>
      <c r="E19" s="4"/>
      <c r="F19" s="4"/>
      <c r="G19" s="4"/>
    </row>
    <row r="20" spans="1:7">
      <c r="A20" s="4" t="s">
        <v>1149</v>
      </c>
      <c r="B20" s="4"/>
      <c r="C20" s="4"/>
      <c r="D20" s="4"/>
      <c r="E20" s="4"/>
      <c r="F20" s="4"/>
      <c r="G20" s="4"/>
    </row>
    <row r="21" spans="1:7">
      <c r="A21" s="4" t="s">
        <v>1150</v>
      </c>
      <c r="B21" s="4"/>
      <c r="C21" s="4"/>
      <c r="D21" s="4"/>
      <c r="E21" s="4"/>
      <c r="F21" s="4"/>
      <c r="G21" s="4"/>
    </row>
    <row r="22" spans="1:7">
      <c r="A22" s="4" t="s">
        <v>1151</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7</vt:i4>
      </vt:variant>
    </vt:vector>
  </HeadingPairs>
  <TitlesOfParts>
    <vt:vector size="7" baseType="lpstr">
      <vt:lpstr>2025年项目计划12.18</vt:lpstr>
      <vt:lpstr>2025年项目库修改版 (县委汇报版)</vt:lpstr>
      <vt:lpstr>2025年项目提取</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2024-12-18T10:40:25Z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C6925A476D2345BDA3F5611661D2AB12_13</vt:lpwstr>
  </property>
  <property fmtid="{D5CDD505-2E9C-101B-9397-08002B2CF9AE}" pid="3" name="KSOProductBuildVer">
    <vt:lpwstr>2052-12.1.0.19302</vt:lpwstr>
  </property>
  <property fmtid="{D5CDD505-2E9C-101B-9397-08002B2CF9AE}" pid="4" name="KSOReadingLayout">
    <vt:bool>true</vt:bool>
  </property>
</Properties>
</file>